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comments5.xml" ContentType="application/vnd.openxmlformats-officedocument.spreadsheetml.comments+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20" yWindow="380" windowWidth="22900" windowHeight="17960" tabRatio="672" activeTab="4"/>
  </bookViews>
  <sheets>
    <sheet name="8' STR_CALC" sheetId="1" r:id="rId1"/>
    <sheet name="8' LogL" sheetId="2" r:id="rId2"/>
    <sheet name="8' as found" sheetId="3" r:id="rId3"/>
    <sheet name="8' Restring" sheetId="4" r:id="rId4"/>
    <sheet name="4' STR_CALC" sheetId="5" r:id="rId5"/>
    <sheet name="4' LogL" sheetId="6" r:id="rId6"/>
    <sheet name="2x8' tension graph" sheetId="7" r:id="rId7"/>
    <sheet name="4' as found" sheetId="8" r:id="rId8"/>
    <sheet name="4' Restring" sheetId="9" r:id="rId9"/>
  </sheets>
  <definedNames>
    <definedName name="ACwvu.Print_table." localSheetId="4" hidden="1">'4'' STR_CALC'!$AA$93</definedName>
    <definedName name="ACwvu.Print_table." localSheetId="0" hidden="1">'8'' STR_CALC'!$AB$93</definedName>
    <definedName name="ACwvu.Wire_types_codes." localSheetId="4" hidden="1">'4'' STR_CALC'!$AY$15</definedName>
    <definedName name="ACwvu.Wire_types_codes." localSheetId="0" hidden="1">'8'' STR_CALC'!$AZ$15</definedName>
    <definedName name="ACwvu.Wound_string_calcs." localSheetId="4" hidden="1">'4'' STR_CALC'!$AY$15</definedName>
    <definedName name="ACwvu.Wound_string_calcs." localSheetId="0" hidden="1">'8'' STR_CALC'!$AZ$15</definedName>
    <definedName name="CRITERIA" localSheetId="4">'4'' STR_CALC'!$E$10</definedName>
    <definedName name="CRITERIA">'8'' STR_CALC'!$E$10</definedName>
    <definedName name="Frequency_multiplier" localSheetId="4">'4'' STR_CALC'!$I$14</definedName>
    <definedName name="Frequency_multiplier">'8'' STR_CALC'!$I$14</definedName>
    <definedName name="_xlnm.Print_Area" localSheetId="4">'4'' STR_CALC'!$BA$23:$BO$41</definedName>
    <definedName name="_xlnm.Print_Area" localSheetId="0">'8'' STR_CALC'!$A$1:$Z$85</definedName>
    <definedName name="_xlnm.Print_Titles" localSheetId="4">'4'' STR_CALC'!$9:$17</definedName>
    <definedName name="_xlnm.Print_Titles" localSheetId="0">'8'' STR_CALC'!$9:$17</definedName>
    <definedName name="Rwvu.Print_table." localSheetId="4" hidden="1">'4'' STR_CALC'!$A:$A,'4'' STR_CALC'!$C:$K,'4'' STR_CALC'!$I:$I,'4'' STR_CALC'!$S:$T,'4'' STR_CALC'!$Y:$Y</definedName>
    <definedName name="Rwvu.Print_table." localSheetId="0" hidden="1">'8'' STR_CALC'!$A:$A,'8'' STR_CALC'!$C:$K,'8'' STR_CALC'!$I:$I,'8'' STR_CALC'!$S:$T,'8'' STR_CALC'!$Z:$Z</definedName>
    <definedName name="Swvu.Print_table." localSheetId="4" hidden="1">'4'' STR_CALC'!$AA$93</definedName>
    <definedName name="Swvu.Print_table." localSheetId="0" hidden="1">'8'' STR_CALC'!$AB$93</definedName>
    <definedName name="Swvu.Wire_types_codes." localSheetId="4" hidden="1">'4'' STR_CALC'!$AY$15</definedName>
    <definedName name="Swvu.Wire_types_codes." localSheetId="0" hidden="1">'8'' STR_CALC'!$AZ$15</definedName>
    <definedName name="Swvu.Wound_string_calcs." localSheetId="4" hidden="1">'4'' STR_CALC'!$AY$15</definedName>
    <definedName name="Swvu.Wound_string_calcs." localSheetId="0" hidden="1">'8'' STR_CALC'!$AZ$15</definedName>
    <definedName name="wvu.Print_table." localSheetId="4" hidden="1">{TRUE,TRUE,-1.25,-15.5,484.5,301.5,FALSE,TRUE,TRUE,FALSE,0,1,#N/A,1,9,24.520833333333332,8,3,FALSE,TRUE,3,TRUE,1,TRUE,75,"Swvu.Print_table.","ACwvu.Print_table.",1,FALSE,FALSE,1.1811023622047245,0.7480314960629921,0.984251968503937,0.984251968503937,1,"&amp;LRestring calculation&amp;C1980 ""Blanchet"" (Mr. Vickery)&amp;R&amp;D","Page &amp;p",FALSE,FALSE,FALSE,TRUE,1,90,#N/A,#N/A,"=R1C2:R76C16","=R1:R8","Rwvu.Print_table.",#N/A,FALSE,FALSE}</definedName>
    <definedName name="wvu.Print_table." localSheetId="0" hidden="1">{TRUE,TRUE,-1.25,-15.5,484.5,301.5,FALSE,TRUE,TRUE,FALSE,0,1,#N/A,1,9,24.520833333333332,8,3,FALSE,TRUE,3,TRUE,1,TRUE,75,"Swvu.Print_table.","ACwvu.Print_table.",1,FALSE,FALSE,1.1811023622047245,0.7480314960629921,0.984251968503937,0.984251968503937,1,"&amp;LRestring calculation&amp;C1980 ""Blanchet"" (Mr. Vickery)&amp;R&amp;D","Page &amp;p",FALSE,FALSE,FALSE,TRUE,1,90,#N/A,#N/A,"=R1C2:R76C16","=R1:R8","Rwvu.Print_table.",#N/A,FALSE,FALSE}</definedName>
    <definedName name="wvu.Wire_types_codes." localSheetId="4" hidden="1">{FALSE,FALSE,-1.25,-15.5,484.5,301.5,FALSE,TRUE,TRUE,FALSE,0,39,#N/A,1,14,8.611940298507463,13,3,FALSE,TRUE,3,TRUE,1,TRUE,75,"Swvu.Wire_types_codes.","ACwvu.Wire_types_codes.",1,FALSE,FALSE,1.062992125984252,0.7480314960629921,0.7086614173228347,0.5118110236220472,1,"&amp;L&amp;F Page&amp;P&amp;CPlain string  calculations&amp;R&amp;D","",FALSE,FALSE,FALSE,TRUE,1,#N/A,1,1,FALSE,FALSE,FALSE,FALSE,FALSE,FALSE}</definedName>
    <definedName name="wvu.Wire_types_codes." localSheetId="0" hidden="1">{FALSE,FALSE,-1.25,-15.5,484.5,301.5,FALSE,TRUE,TRUE,FALSE,0,39,#N/A,1,14,8.611940298507463,13,3,FALSE,TRUE,3,TRUE,1,TRUE,75,"Swvu.Wire_types_codes.","ACwvu.Wire_types_codes.",1,FALSE,FALSE,1.062992125984252,0.7480314960629921,0.7086614173228347,0.5118110236220472,1,"&amp;L&amp;F Page&amp;P&amp;CPlain string  calculations&amp;R&amp;D","",FALSE,FALSE,FALSE,TRUE,1,#N/A,1,1,FALSE,FALSE,FALSE,FALSE,FALSE,FALSE}</definedName>
    <definedName name="wvu.Wound_string_calcs." localSheetId="4" hidden="1">{FALSE,FALSE,-1.25,-15.5,484.5,301.5,FALSE,TRUE,TRUE,FALSE,0,47,#N/A,1,14,14.354166666666666,13,3,FALSE,TRUE,3,TRUE,1,TRUE,75,"Swvu.Wound_string_calcs.","ACwvu.Wound_string_calcs.",1,FALSE,FALSE,1.062992125984252,0.7480314960629921,0.7086614173228347,0.5118110236220472,1,"&amp;L&amp;F Page&amp;P&amp;CPlain string  calculations&amp;R&amp;D","",FALSE,FALSE,FALSE,TRUE,1,#N/A,1,1,FALSE,FALSE,FALSE,FALSE,FALSE,FALSE}</definedName>
    <definedName name="wvu.Wound_string_calcs." localSheetId="0" hidden="1">{FALSE,FALSE,-1.25,-15.5,484.5,301.5,FALSE,TRUE,TRUE,FALSE,0,47,#N/A,1,14,14.354166666666666,13,3,FALSE,TRUE,3,TRUE,1,TRUE,75,"Swvu.Wound_string_calcs.","ACwvu.Wound_string_calcs.",1,FALSE,FALSE,1.062992125984252,0.7480314960629921,0.7086614173228347,0.5118110236220472,1,"&amp;L&amp;F Page&amp;P&amp;CPlain string  calculations&amp;R&amp;D","",FALSE,FALSE,FALSE,TRUE,1,#N/A,1,1,FALSE,FALSE,FALSE,FALSE,FALSE,FALSE}</definedName>
  </definedNames>
  <calcPr fullCalcOnLoad="1"/>
</workbook>
</file>

<file path=xl/comments1.xml><?xml version="1.0" encoding="utf-8"?>
<comments xmlns="http://schemas.openxmlformats.org/spreadsheetml/2006/main">
  <authors>
    <author>A satisfied Microsoft Office user</author>
  </authors>
  <commentList>
    <comment ref="B9" authorId="0">
      <text>
        <r>
          <rPr>
            <sz val="7"/>
            <rFont val="Tahoma"/>
            <family val="0"/>
          </rPr>
          <t>Whatever you write here is also used as a title for the charts.</t>
        </r>
      </text>
    </comment>
    <comment ref="Z9" authorId="0">
      <text>
        <r>
          <rPr>
            <sz val="7"/>
            <rFont val="Tahoma"/>
            <family val="0"/>
          </rPr>
          <t>For the full range of string materials and their relevent density codes click on Window / Views, scroll right.</t>
        </r>
      </text>
    </comment>
    <comment ref="B10" authorId="0">
      <text>
        <r>
          <rPr>
            <sz val="7"/>
            <rFont val="Tahoma"/>
            <family val="0"/>
          </rPr>
          <t>Changing the reference pitch can be done at any time,with immediate recalculations throughout. Don't forget to double the figure for the 4' strings.</t>
        </r>
      </text>
    </comment>
    <comment ref="U12" authorId="0">
      <text>
        <r>
          <rPr>
            <sz val="7"/>
            <rFont val="Tahoma"/>
            <family val="0"/>
          </rPr>
          <t>Scroll right for the Wound string calculator; fill in the relevent figures. The resultant tension will apper in the correct column, K.</t>
        </r>
      </text>
    </comment>
    <comment ref="L15" authorId="0">
      <text>
        <r>
          <rPr>
            <sz val="7"/>
            <rFont val="Tahoma"/>
            <family val="0"/>
          </rPr>
          <t xml:space="preserve">This range must be altered to represent the compass of this instrument; any cells within the range with no values (eg within a short octave) must be cleared of their formulae. </t>
        </r>
      </text>
    </comment>
    <comment ref="W15" authorId="0">
      <text>
        <r>
          <rPr>
            <sz val="7"/>
            <rFont val="Tahoma"/>
            <family val="0"/>
          </rPr>
          <t>see note-K12</t>
        </r>
      </text>
    </comment>
  </commentList>
</comments>
</file>

<file path=xl/comments5.xml><?xml version="1.0" encoding="utf-8"?>
<comments xmlns="http://schemas.openxmlformats.org/spreadsheetml/2006/main">
  <authors>
    <author>A satisfied Microsoft Office user</author>
  </authors>
  <commentList>
    <comment ref="B9" authorId="0">
      <text>
        <r>
          <rPr>
            <sz val="7"/>
            <rFont val="Tahoma"/>
            <family val="0"/>
          </rPr>
          <t>Whatever you write here is also used as a title for the charts.</t>
        </r>
      </text>
    </comment>
    <comment ref="Y9" authorId="0">
      <text>
        <r>
          <rPr>
            <sz val="7"/>
            <rFont val="Tahoma"/>
            <family val="0"/>
          </rPr>
          <t>For the full range of string materials and their relevent density codes click on Window / Views, scroll right.</t>
        </r>
      </text>
    </comment>
    <comment ref="B10" authorId="0">
      <text>
        <r>
          <rPr>
            <sz val="7"/>
            <rFont val="Tahoma"/>
            <family val="0"/>
          </rPr>
          <t>Value calculated from
8' STR CALC</t>
        </r>
      </text>
    </comment>
    <comment ref="U12" authorId="0">
      <text>
        <r>
          <rPr>
            <sz val="7"/>
            <rFont val="Tahoma"/>
            <family val="0"/>
          </rPr>
          <t>Scroll right for the Wound string calculator; fill in the relevent figures. The resultant tension will apper in the correct column, K.</t>
        </r>
      </text>
    </comment>
    <comment ref="L15" authorId="0">
      <text>
        <r>
          <rPr>
            <sz val="7"/>
            <rFont val="Tahoma"/>
            <family val="0"/>
          </rPr>
          <t xml:space="preserve">This range must be altered to represent the compass of this instrument; any cells within the range with no values (eg within a short octave) must be cleared of their formulae. </t>
        </r>
      </text>
    </comment>
    <comment ref="V15" authorId="0">
      <text>
        <r>
          <rPr>
            <sz val="7"/>
            <rFont val="Tahoma"/>
            <family val="0"/>
          </rPr>
          <t>see note-K12</t>
        </r>
      </text>
    </comment>
  </commentList>
</comments>
</file>

<file path=xl/sharedStrings.xml><?xml version="1.0" encoding="utf-8"?>
<sst xmlns="http://schemas.openxmlformats.org/spreadsheetml/2006/main" count="470" uniqueCount="205">
  <si>
    <t>Std.Note</t>
  </si>
  <si>
    <t>Note</t>
  </si>
  <si>
    <t xml:space="preserve">        F</t>
  </si>
  <si>
    <t>Speaking Length</t>
  </si>
  <si>
    <t>Log L</t>
  </si>
  <si>
    <t>Just scale</t>
  </si>
  <si>
    <t xml:space="preserve">String </t>
  </si>
  <si>
    <t>Density</t>
  </si>
  <si>
    <t>Tension</t>
  </si>
  <si>
    <t>strings</t>
  </si>
  <si>
    <t>Total</t>
  </si>
  <si>
    <t>T(Max)</t>
  </si>
  <si>
    <t>T (Graph)</t>
  </si>
  <si>
    <t>Nom. D</t>
  </si>
  <si>
    <t>T(Calc.)</t>
  </si>
  <si>
    <t>Calculated tension</t>
  </si>
  <si>
    <t>range</t>
  </si>
  <si>
    <t>Diameters</t>
  </si>
  <si>
    <t>Iron</t>
  </si>
  <si>
    <t>Brass</t>
  </si>
  <si>
    <t xml:space="preserve">Red </t>
  </si>
  <si>
    <t>Vlookup table 3</t>
  </si>
  <si>
    <t>NOTE</t>
  </si>
  <si>
    <t xml:space="preserve">       F</t>
  </si>
  <si>
    <t>LENGTH</t>
  </si>
  <si>
    <t>core diam.</t>
  </si>
  <si>
    <t xml:space="preserve">core </t>
  </si>
  <si>
    <t>cover diam.</t>
  </si>
  <si>
    <t>cover</t>
  </si>
  <si>
    <t>winding</t>
  </si>
  <si>
    <t>Number</t>
  </si>
  <si>
    <t xml:space="preserve">      (Hz)</t>
  </si>
  <si>
    <t>(mm.)</t>
  </si>
  <si>
    <t>based on c"</t>
  </si>
  <si>
    <t>(mm)</t>
  </si>
  <si>
    <t>Code</t>
  </si>
  <si>
    <t>Type</t>
  </si>
  <si>
    <t>kg/m³</t>
  </si>
  <si>
    <t>(Kgf)</t>
  </si>
  <si>
    <t>per note</t>
  </si>
  <si>
    <t>Type A</t>
  </si>
  <si>
    <t>Type B</t>
  </si>
  <si>
    <t>Type C</t>
  </si>
  <si>
    <t>code</t>
  </si>
  <si>
    <t>TYPE</t>
  </si>
  <si>
    <t>Wire type</t>
  </si>
  <si>
    <t>density, kg/m³</t>
  </si>
  <si>
    <t>o/d</t>
  </si>
  <si>
    <t>mm.</t>
  </si>
  <si>
    <t>pitch (mm)</t>
  </si>
  <si>
    <t>kgf</t>
  </si>
  <si>
    <t>CC</t>
  </si>
  <si>
    <t>covered wires (values below, codes 4-10)</t>
  </si>
  <si>
    <t>CC #</t>
  </si>
  <si>
    <t>Rose Iron</t>
  </si>
  <si>
    <t>DD</t>
  </si>
  <si>
    <t>Rose yellow brass</t>
  </si>
  <si>
    <t>DD #</t>
  </si>
  <si>
    <t>Rose red brass</t>
  </si>
  <si>
    <t>EE</t>
  </si>
  <si>
    <t xml:space="preserve">pure copper </t>
  </si>
  <si>
    <t>FF</t>
  </si>
  <si>
    <t xml:space="preserve">tinned copper </t>
  </si>
  <si>
    <t>FF #</t>
  </si>
  <si>
    <t>silver plated copper</t>
  </si>
  <si>
    <t>GG</t>
  </si>
  <si>
    <t>pure tin</t>
  </si>
  <si>
    <t>GG #</t>
  </si>
  <si>
    <t>silver</t>
  </si>
  <si>
    <t>AA</t>
  </si>
  <si>
    <t>gold</t>
  </si>
  <si>
    <t>AA #</t>
  </si>
  <si>
    <t>platinum</t>
  </si>
  <si>
    <t>BB</t>
  </si>
  <si>
    <t>Marc Vogel (Gug) Iron</t>
  </si>
  <si>
    <t>C</t>
  </si>
  <si>
    <t>Marc Vogel (Gug)Brass</t>
  </si>
  <si>
    <t>C #</t>
  </si>
  <si>
    <t>Marc Vogel (Gug) Copper</t>
  </si>
  <si>
    <t>D</t>
  </si>
  <si>
    <t>Zuckerman iron</t>
  </si>
  <si>
    <t>D #</t>
  </si>
  <si>
    <t>Zuckerman brass 70/30</t>
  </si>
  <si>
    <t>Beryllium Copper</t>
  </si>
  <si>
    <t>d # ²</t>
  </si>
  <si>
    <t>e ²</t>
  </si>
  <si>
    <t>f ²</t>
  </si>
  <si>
    <t>f # ²</t>
  </si>
  <si>
    <t>g ²</t>
  </si>
  <si>
    <t>g # ²</t>
  </si>
  <si>
    <t>a ²</t>
  </si>
  <si>
    <t>a # ²</t>
  </si>
  <si>
    <t>b ²</t>
  </si>
  <si>
    <t>c ³</t>
  </si>
  <si>
    <t>c # ³</t>
  </si>
  <si>
    <t>d ³</t>
  </si>
  <si>
    <t>d # ³</t>
  </si>
  <si>
    <t>e ³</t>
  </si>
  <si>
    <t>f ³</t>
  </si>
  <si>
    <t>f # ³</t>
  </si>
  <si>
    <t>g ³</t>
  </si>
  <si>
    <t>a ³</t>
  </si>
  <si>
    <t>b ³</t>
  </si>
  <si>
    <t>c4</t>
  </si>
  <si>
    <t>d 4</t>
  </si>
  <si>
    <t>e 4</t>
  </si>
  <si>
    <t>f 4</t>
  </si>
  <si>
    <t>g 4</t>
  </si>
  <si>
    <t>a 4</t>
  </si>
  <si>
    <t>b 4</t>
  </si>
  <si>
    <t>c 5</t>
  </si>
  <si>
    <t>Unhide rows 84:101 for more! (to c5)</t>
  </si>
  <si>
    <t xml:space="preserve">             Existing stringing </t>
  </si>
  <si>
    <t>covering wire</t>
  </si>
  <si>
    <t>Standard stock</t>
  </si>
  <si>
    <t>sizes, mm</t>
  </si>
  <si>
    <t>Unhiding the hidden columns will reveal those containing formulae and other bits not usually required;
Hide the gray rows &amp; columns for ease of use and for printing. Left-click cells with RED corners for relevent information.</t>
  </si>
  <si>
    <t>String codes and their densitys are given in Vlookup table 3, AV15:AY37;  types 1-13 are standard metric sizes and 14-20 are metric equivalents of the old imperial standard sizes, the nominal sizes given in column Q reflect the string codes you use.</t>
  </si>
  <si>
    <t xml:space="preserve">Reference Pitch will usually be calculated from the 8' value you entered in the 8' spreadsheet. Enter string lengths (to the nearest mm) in column D; enter diameter and code for string material in columns G &amp; H to calculate tensions for existing strings. </t>
  </si>
  <si>
    <t>Click on the tabs below to see relevent charts. Adjustments made to the figures in the speadsheet to create the ideal tension curve will be instantly reflected in the graph.</t>
  </si>
  <si>
    <t xml:space="preserve">For new strings, draw a graph to suit your instrument and read off tensions; enter these into the 'T(graph)' column , add codes for string material in the adjacent 'String codes' column  and bingo! </t>
  </si>
  <si>
    <t>Instrument:</t>
  </si>
  <si>
    <t>String         1, 1.2, 1.3=</t>
  </si>
  <si>
    <t>Rose Iron, types A,B &amp; C</t>
  </si>
  <si>
    <t>Others</t>
  </si>
  <si>
    <t>material     2=</t>
  </si>
  <si>
    <t>Rose Yellow Brass</t>
  </si>
  <si>
    <t>Ref. Pitch:</t>
  </si>
  <si>
    <t>code          3=</t>
  </si>
  <si>
    <t>Rose Red Brass</t>
  </si>
  <si>
    <t>c=</t>
  </si>
  <si>
    <t>wound string</t>
  </si>
  <si>
    <t>String scale (Chart 1)</t>
  </si>
  <si>
    <t>Calculate new diameters</t>
  </si>
  <si>
    <t>Change</t>
  </si>
  <si>
    <t>String material</t>
  </si>
  <si>
    <t>VLOOKUP TABLE 1 (standard metric sizes)</t>
  </si>
  <si>
    <t>c</t>
  </si>
  <si>
    <t>Log string length</t>
  </si>
  <si>
    <t>Just scale, based on c''</t>
  </si>
  <si>
    <t>Total Tension for one register =</t>
  </si>
  <si>
    <t>Rec. max. tension</t>
  </si>
  <si>
    <t>Diameter</t>
  </si>
  <si>
    <t>Nominal</t>
  </si>
  <si>
    <t>Maximum recommended tensions.</t>
  </si>
  <si>
    <t>COVERED STRING CALCULATIONS</t>
  </si>
  <si>
    <t xml:space="preserve">For covered strings scroll to columns BA to BN, and enter core and cover diameters and materials, in the relevent columns; for closewound strings, winding pitch = cover diameter. The resultant tension figures should be entered manually into the relevent column to appear on the charts.. </t>
  </si>
  <si>
    <t>After reading this, hide the grey rows and the rows with the unwanted bass and treble notes.
Then highlight the cell corresponding to the first note in the bass (FF is A23) in col A, then select  Windows/Freeze panes.</t>
  </si>
  <si>
    <t>Workshop String Calculation worksheet: Harpsichords etc, 8' tension range 0 - 16 Kgf for single register.</t>
  </si>
  <si>
    <t>Workshop String Calculation worksheet: Harpsichords etc, 4' tension range 0 - 16 Kgf for single register.</t>
  </si>
  <si>
    <t>********</t>
  </si>
  <si>
    <t>g³</t>
  </si>
  <si>
    <t xml:space="preserve">Enter Reference Pitch in cell F9 , and string lengths measured to the nearest millimeter in column D; enter diameter and code for string material in columns G &amp; H to calculate tensions for existing strings. </t>
  </si>
  <si>
    <t>Unhiding the hidden columns will reveal those containing formulae and other bits not usually required;
Hide the gray rows &amp; columns for ease of use and for printing. Rest cursor on cells with RED corners for relevent information.</t>
  </si>
  <si>
    <t xml:space="preserve">For re-stringing, draw a graph to suit your instrument and read off string tensions; enter these into the 'T(graph)' column ,add codes for string material in the adjacent 'String codes' column  and bingo! </t>
  </si>
  <si>
    <t>(Rose wire)</t>
  </si>
  <si>
    <t>Nominal Diameter</t>
  </si>
  <si>
    <t>Assuming type 2 iron wire for max T.</t>
  </si>
  <si>
    <t>T Graph</t>
  </si>
  <si>
    <t>0 =</t>
  </si>
  <si>
    <t>T(Calc)</t>
  </si>
  <si>
    <t>E</t>
  </si>
  <si>
    <t>Zuckerman red brass 90/10</t>
  </si>
  <si>
    <t>F</t>
  </si>
  <si>
    <t>Heckscher  German steel music wire</t>
  </si>
  <si>
    <t>F #</t>
  </si>
  <si>
    <t>Heckscher  "high carbon iron"</t>
  </si>
  <si>
    <t>G</t>
  </si>
  <si>
    <t>Heckscher  brass</t>
  </si>
  <si>
    <t>G #</t>
  </si>
  <si>
    <t>Heckscher  phosphor bronze</t>
  </si>
  <si>
    <t>A</t>
  </si>
  <si>
    <t>A #</t>
  </si>
  <si>
    <t>B</t>
  </si>
  <si>
    <t>c #</t>
  </si>
  <si>
    <t>d</t>
  </si>
  <si>
    <t>d #</t>
  </si>
  <si>
    <t>e</t>
  </si>
  <si>
    <t>f</t>
  </si>
  <si>
    <t>f #</t>
  </si>
  <si>
    <t>g</t>
  </si>
  <si>
    <t>VLOOKUP TABLE 2 (imperial equivalent sizes)</t>
  </si>
  <si>
    <t>g #</t>
  </si>
  <si>
    <t>a</t>
  </si>
  <si>
    <t>Phosphor</t>
  </si>
  <si>
    <t>Hecksher</t>
  </si>
  <si>
    <t>a #</t>
  </si>
  <si>
    <t xml:space="preserve">bronze </t>
  </si>
  <si>
    <t xml:space="preserve">Steel </t>
  </si>
  <si>
    <t>b</t>
  </si>
  <si>
    <t>c ¹</t>
  </si>
  <si>
    <t>c # ¹</t>
  </si>
  <si>
    <t>d ¹</t>
  </si>
  <si>
    <t>d # ¹</t>
  </si>
  <si>
    <t>e ¹</t>
  </si>
  <si>
    <t>f  ¹</t>
  </si>
  <si>
    <t>f # ¹</t>
  </si>
  <si>
    <t>g ¹</t>
  </si>
  <si>
    <t>g # ¹</t>
  </si>
  <si>
    <t>a ¹</t>
  </si>
  <si>
    <t>a # ¹</t>
  </si>
  <si>
    <t>b ¹</t>
  </si>
  <si>
    <t>c ²</t>
  </si>
  <si>
    <t>c # ²</t>
  </si>
  <si>
    <t>d 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</si>
</sst>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h:mm:ss"/>
    <numFmt numFmtId="166" formatCode="d/m/yy\ h:mm"/>
    <numFmt numFmtId="167" formatCode="0000.00"/>
    <numFmt numFmtId="168" formatCode="##00.00"/>
    <numFmt numFmtId="169" formatCode="0.0"/>
    <numFmt numFmtId="170" formatCode="0.0%"/>
    <numFmt numFmtId="171" formatCode="0.000"/>
    <numFmt numFmtId="172" formatCode="000.00"/>
    <numFmt numFmtId="173" formatCode="000"/>
    <numFmt numFmtId="174" formatCode="0000"/>
    <numFmt numFmtId="175" formatCode="0.0000"/>
  </numFmts>
  <fonts count="22">
    <font>
      <sz val="10"/>
      <name val="Helv"/>
      <family val="0"/>
    </font>
    <font>
      <b/>
      <sz val="10"/>
      <name val="Helv"/>
      <family val="0"/>
    </font>
    <font>
      <i/>
      <sz val="10"/>
      <name val="Helv"/>
      <family val="0"/>
    </font>
    <font>
      <b/>
      <i/>
      <sz val="10"/>
      <name val="Helv"/>
      <family val="0"/>
    </font>
    <font>
      <sz val="7"/>
      <name val="Tahoma"/>
      <family val="0"/>
    </font>
    <font>
      <b/>
      <sz val="14"/>
      <name val="Arial"/>
      <family val="2"/>
    </font>
    <font>
      <sz val="10"/>
      <name val="Arial"/>
      <family val="2"/>
    </font>
    <font>
      <sz val="12"/>
      <name val="Arial"/>
      <family val="2"/>
    </font>
    <font>
      <b/>
      <sz val="10"/>
      <name val="Arial"/>
      <family val="2"/>
    </font>
    <font>
      <sz val="8"/>
      <name val="Arial"/>
      <family val="2"/>
    </font>
    <font>
      <b/>
      <sz val="8"/>
      <name val="Arial"/>
      <family val="2"/>
    </font>
    <font>
      <b/>
      <sz val="12"/>
      <name val="Arial"/>
      <family val="2"/>
    </font>
    <font>
      <i/>
      <sz val="12"/>
      <name val="Arial"/>
      <family val="2"/>
    </font>
    <font>
      <sz val="9"/>
      <name val="Arial"/>
      <family val="2"/>
    </font>
    <font>
      <sz val="11"/>
      <name val="Arial"/>
      <family val="2"/>
    </font>
    <font>
      <i/>
      <sz val="10"/>
      <name val="Arial"/>
      <family val="2"/>
    </font>
    <font>
      <sz val="10"/>
      <color indexed="8"/>
      <name val="MS Sans Serif"/>
      <family val="0"/>
    </font>
    <font>
      <sz val="8"/>
      <color indexed="8"/>
      <name val="Arial Narrow"/>
      <family val="0"/>
    </font>
    <font>
      <b/>
      <sz val="10"/>
      <color indexed="8"/>
      <name val="Arial Narrow"/>
      <family val="0"/>
    </font>
    <font>
      <b/>
      <sz val="13.5"/>
      <color indexed="8"/>
      <name val="MS Sans Serif"/>
      <family val="0"/>
    </font>
    <font>
      <sz val="7.35"/>
      <color indexed="8"/>
      <name val="Arial Narrow"/>
      <family val="0"/>
    </font>
    <font>
      <b/>
      <sz val="8"/>
      <name val="Helv"/>
      <family val="2"/>
    </font>
  </fonts>
  <fills count="6">
    <fill>
      <patternFill/>
    </fill>
    <fill>
      <patternFill patternType="gray125"/>
    </fill>
    <fill>
      <patternFill patternType="solid">
        <fgColor indexed="22"/>
        <bgColor indexed="64"/>
      </patternFill>
    </fill>
    <fill>
      <patternFill patternType="lightGray">
        <fgColor indexed="13"/>
      </patternFill>
    </fill>
    <fill>
      <patternFill patternType="solid">
        <fgColor indexed="11"/>
        <bgColor indexed="64"/>
      </patternFill>
    </fill>
    <fill>
      <patternFill patternType="solid">
        <fgColor indexed="13"/>
        <bgColor indexed="64"/>
      </patternFill>
    </fill>
  </fills>
  <borders count="67">
    <border>
      <left/>
      <right/>
      <top/>
      <bottom/>
      <diagonal/>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double"/>
      <top style="double"/>
      <bottom>
        <color indexed="63"/>
      </bottom>
    </border>
    <border>
      <left style="thin"/>
      <right>
        <color indexed="63"/>
      </right>
      <top style="double"/>
      <bottom style="double"/>
    </border>
    <border>
      <left>
        <color indexed="63"/>
      </left>
      <right>
        <color indexed="63"/>
      </right>
      <top style="double"/>
      <bottom style="double"/>
    </border>
    <border>
      <left style="double"/>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double"/>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style="thin"/>
      <right style="thin"/>
      <top style="medium"/>
      <bottom>
        <color indexed="63"/>
      </bottom>
    </border>
    <border>
      <left style="double"/>
      <right style="double"/>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thin"/>
      <right style="thin"/>
      <top>
        <color indexed="63"/>
      </top>
      <bottom style="thin"/>
    </border>
    <border>
      <left style="double"/>
      <right style="double"/>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double"/>
      <bottom style="thin"/>
    </border>
    <border>
      <left>
        <color indexed="63"/>
      </left>
      <right>
        <color indexed="63"/>
      </right>
      <top>
        <color indexed="63"/>
      </top>
      <bottom style="double"/>
    </border>
    <border>
      <left style="double"/>
      <right style="double"/>
      <top style="double"/>
      <bottom style="thin"/>
    </border>
    <border>
      <left style="double"/>
      <right>
        <color indexed="63"/>
      </right>
      <top style="double"/>
      <bottom style="thin"/>
    </border>
    <border>
      <left>
        <color indexed="63"/>
      </left>
      <right style="double"/>
      <top style="double"/>
      <bottom style="thin"/>
    </border>
    <border>
      <left style="double"/>
      <right style="double"/>
      <top style="thin"/>
      <bottom style="thin"/>
    </border>
    <border>
      <left style="double"/>
      <right style="double"/>
      <top>
        <color indexed="63"/>
      </top>
      <bottom style="thin"/>
    </border>
    <border>
      <left style="double"/>
      <right>
        <color indexed="63"/>
      </right>
      <top>
        <color indexed="63"/>
      </top>
      <bottom style="thin"/>
    </border>
    <border>
      <left>
        <color indexed="63"/>
      </left>
      <right style="double"/>
      <top>
        <color indexed="63"/>
      </top>
      <bottom style="thin"/>
    </border>
    <border>
      <left style="double"/>
      <right style="double"/>
      <top style="thin"/>
      <bottom style="double"/>
    </border>
    <border>
      <left style="double"/>
      <right style="double"/>
      <top>
        <color indexed="63"/>
      </top>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6" fillId="0" borderId="0" xfId="0" applyFont="1" applyFill="1" applyBorder="1" applyAlignment="1" applyProtection="1">
      <alignment horizontal="centerContinuous" vertical="center"/>
      <protection hidden="1"/>
    </xf>
    <xf numFmtId="0" fontId="6" fillId="2" borderId="0" xfId="0" applyFont="1" applyFill="1" applyBorder="1" applyAlignment="1" applyProtection="1">
      <alignment horizontal="centerContinuous" vertical="center"/>
      <protection hidden="1"/>
    </xf>
    <xf numFmtId="0" fontId="6" fillId="2" borderId="1" xfId="0" applyFont="1" applyFill="1" applyBorder="1" applyAlignment="1" applyProtection="1">
      <alignment horizontal="centerContinuous" vertical="center"/>
      <protection hidden="1"/>
    </xf>
    <xf numFmtId="1" fontId="6" fillId="2" borderId="0" xfId="0" applyNumberFormat="1" applyFont="1" applyFill="1" applyBorder="1" applyAlignment="1" applyProtection="1">
      <alignment horizontal="center" vertical="center"/>
      <protection hidden="1"/>
    </xf>
    <xf numFmtId="171" fontId="6" fillId="2" borderId="0" xfId="0" applyNumberFormat="1" applyFont="1" applyFill="1" applyBorder="1" applyAlignment="1" applyProtection="1">
      <alignment horizontal="centerContinuous" vertical="center"/>
      <protection hidden="1"/>
    </xf>
    <xf numFmtId="2" fontId="6" fillId="0" borderId="0" xfId="0" applyNumberFormat="1" applyFont="1" applyFill="1" applyBorder="1" applyAlignment="1" applyProtection="1">
      <alignment horizontal="centerContinuous" vertical="center"/>
      <protection hidden="1"/>
    </xf>
    <xf numFmtId="1"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2" xfId="0" applyFont="1" applyFill="1" applyBorder="1" applyAlignment="1" applyProtection="1">
      <alignment horizontal="right" vertical="center"/>
      <protection hidden="1"/>
    </xf>
    <xf numFmtId="0" fontId="6" fillId="0" borderId="2" xfId="0" applyFont="1" applyFill="1" applyBorder="1" applyAlignment="1" applyProtection="1">
      <alignment vertical="center"/>
      <protection hidden="1"/>
    </xf>
    <xf numFmtId="0" fontId="6" fillId="0" borderId="2" xfId="0" applyFont="1" applyFill="1" applyBorder="1" applyAlignment="1" applyProtection="1">
      <alignment horizontal="center" vertical="center"/>
      <protection hidden="1"/>
    </xf>
    <xf numFmtId="2" fontId="6" fillId="0" borderId="2" xfId="0" applyNumberFormat="1" applyFont="1" applyFill="1" applyBorder="1" applyAlignment="1" applyProtection="1">
      <alignment vertical="center"/>
      <protection hidden="1"/>
    </xf>
    <xf numFmtId="0" fontId="6" fillId="0" borderId="3" xfId="0" applyFont="1" applyFill="1" applyBorder="1" applyAlignment="1" applyProtection="1">
      <alignment horizontal="right"/>
      <protection hidden="1"/>
    </xf>
    <xf numFmtId="0" fontId="6" fillId="2" borderId="0" xfId="0" applyFont="1" applyFill="1" applyAlignment="1">
      <alignment/>
    </xf>
    <xf numFmtId="0" fontId="6" fillId="0" borderId="4" xfId="0" applyFont="1" applyFill="1" applyBorder="1" applyAlignment="1" applyProtection="1">
      <alignment/>
      <protection hidden="1"/>
    </xf>
    <xf numFmtId="0" fontId="8" fillId="2" borderId="0" xfId="0" applyFont="1" applyFill="1" applyBorder="1" applyAlignment="1" applyProtection="1">
      <alignment/>
      <protection hidden="1"/>
    </xf>
    <xf numFmtId="17" fontId="6" fillId="2" borderId="5" xfId="0" applyNumberFormat="1" applyFont="1" applyFill="1" applyBorder="1" applyAlignment="1" applyProtection="1">
      <alignment horizontal="center"/>
      <protection hidden="1"/>
    </xf>
    <xf numFmtId="17" fontId="6" fillId="2" borderId="0" xfId="0" applyNumberFormat="1" applyFont="1" applyFill="1" applyBorder="1" applyAlignment="1" applyProtection="1">
      <alignment/>
      <protection hidden="1"/>
    </xf>
    <xf numFmtId="0" fontId="6" fillId="2" borderId="0" xfId="0" applyFont="1" applyFill="1" applyBorder="1" applyAlignment="1" applyProtection="1">
      <alignment horizontal="centerContinuous"/>
      <protection hidden="1"/>
    </xf>
    <xf numFmtId="0" fontId="6" fillId="0" borderId="6" xfId="0" applyFont="1" applyBorder="1" applyAlignment="1">
      <alignment/>
    </xf>
    <xf numFmtId="1" fontId="6" fillId="2" borderId="6" xfId="0" applyNumberFormat="1" applyFont="1" applyFill="1" applyBorder="1" applyAlignment="1">
      <alignment horizontal="center"/>
    </xf>
    <xf numFmtId="0" fontId="6" fillId="2" borderId="6" xfId="0" applyFont="1" applyFill="1" applyBorder="1" applyAlignment="1">
      <alignment/>
    </xf>
    <xf numFmtId="0" fontId="6" fillId="2" borderId="0" xfId="0" applyFont="1" applyFill="1" applyBorder="1" applyAlignment="1">
      <alignment/>
    </xf>
    <xf numFmtId="0" fontId="6" fillId="2" borderId="0" xfId="0" applyFont="1" applyFill="1" applyBorder="1" applyAlignment="1" applyProtection="1">
      <alignment/>
      <protection hidden="1"/>
    </xf>
    <xf numFmtId="171" fontId="6" fillId="2" borderId="0" xfId="0" applyNumberFormat="1" applyFont="1" applyFill="1" applyBorder="1" applyAlignment="1" applyProtection="1">
      <alignment/>
      <protection hidden="1"/>
    </xf>
    <xf numFmtId="2" fontId="9" fillId="0" borderId="7" xfId="0" applyNumberFormat="1" applyFont="1" applyFill="1" applyBorder="1" applyAlignment="1" applyProtection="1">
      <alignment/>
      <protection hidden="1"/>
    </xf>
    <xf numFmtId="0" fontId="9" fillId="0" borderId="8" xfId="0" applyFont="1" applyFill="1" applyBorder="1" applyAlignment="1" applyProtection="1">
      <alignment horizontal="left"/>
      <protection hidden="1"/>
    </xf>
    <xf numFmtId="1" fontId="9" fillId="0" borderId="8" xfId="0" applyNumberFormat="1" applyFont="1" applyFill="1" applyBorder="1" applyAlignment="1" applyProtection="1">
      <alignment horizontal="center"/>
      <protection hidden="1"/>
    </xf>
    <xf numFmtId="0" fontId="9" fillId="0" borderId="8" xfId="0" applyFont="1" applyBorder="1" applyAlignment="1" applyProtection="1">
      <alignment horizontal="left"/>
      <protection hidden="1"/>
    </xf>
    <xf numFmtId="0" fontId="6" fillId="3" borderId="9" xfId="0" applyFont="1" applyFill="1" applyBorder="1" applyAlignment="1" applyProtection="1">
      <alignment horizontal="center"/>
      <protection hidden="1"/>
    </xf>
    <xf numFmtId="0" fontId="6" fillId="0" borderId="0" xfId="0" applyFont="1" applyFill="1" applyAlignment="1" applyProtection="1">
      <alignment/>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0" fontId="6" fillId="2" borderId="0" xfId="0" applyFont="1" applyFill="1" applyAlignment="1" applyProtection="1">
      <alignment/>
      <protection hidden="1"/>
    </xf>
    <xf numFmtId="2" fontId="6" fillId="0" borderId="0" xfId="0" applyNumberFormat="1" applyFont="1" applyFill="1" applyAlignment="1" applyProtection="1">
      <alignment/>
      <protection hidden="1"/>
    </xf>
    <xf numFmtId="0" fontId="6" fillId="0" borderId="0" xfId="0" applyFont="1" applyAlignment="1">
      <alignment/>
    </xf>
    <xf numFmtId="0" fontId="6" fillId="0" borderId="0" xfId="0" applyFont="1" applyFill="1" applyBorder="1" applyAlignment="1" applyProtection="1">
      <alignment/>
      <protection hidden="1"/>
    </xf>
    <xf numFmtId="0" fontId="6" fillId="2" borderId="5" xfId="0" applyFont="1" applyFill="1" applyBorder="1" applyAlignment="1" applyProtection="1">
      <alignment horizontal="center"/>
      <protection hidden="1"/>
    </xf>
    <xf numFmtId="1" fontId="6" fillId="2" borderId="0" xfId="0" applyNumberFormat="1" applyFont="1" applyFill="1" applyAlignment="1">
      <alignment horizontal="center"/>
    </xf>
    <xf numFmtId="2" fontId="9" fillId="0" borderId="5" xfId="0" applyNumberFormat="1" applyFont="1" applyFill="1" applyBorder="1" applyAlignment="1" applyProtection="1">
      <alignment/>
      <protection hidden="1"/>
    </xf>
    <xf numFmtId="0" fontId="9" fillId="0" borderId="0" xfId="0" applyFont="1" applyFill="1" applyBorder="1" applyAlignment="1" applyProtection="1">
      <alignment horizontal="left"/>
      <protection hidden="1"/>
    </xf>
    <xf numFmtId="1" fontId="9" fillId="0" borderId="0" xfId="0" applyNumberFormat="1" applyFont="1" applyFill="1" applyBorder="1" applyAlignment="1" applyProtection="1">
      <alignment horizontal="center"/>
      <protection hidden="1"/>
    </xf>
    <xf numFmtId="0" fontId="6" fillId="0" borderId="10"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0" xfId="0" applyFont="1" applyBorder="1" applyAlignment="1">
      <alignment/>
    </xf>
    <xf numFmtId="0" fontId="6" fillId="0" borderId="0" xfId="0" applyFont="1" applyFill="1" applyBorder="1" applyAlignment="1" applyProtection="1">
      <alignment horizontal="centerContinuous"/>
      <protection hidden="1"/>
    </xf>
    <xf numFmtId="0" fontId="6" fillId="0" borderId="0" xfId="0" applyFont="1" applyBorder="1" applyAlignment="1">
      <alignment horizontal="centerContinuous"/>
    </xf>
    <xf numFmtId="0" fontId="6" fillId="2" borderId="0" xfId="0" applyFont="1" applyFill="1" applyAlignment="1" applyProtection="1">
      <alignment horizontal="center"/>
      <protection hidden="1"/>
    </xf>
    <xf numFmtId="173" fontId="6" fillId="0" borderId="0" xfId="0" applyNumberFormat="1"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6" fillId="0" borderId="10" xfId="0" applyFont="1" applyFill="1" applyBorder="1" applyAlignment="1" applyProtection="1">
      <alignment horizontal="centerContinuous"/>
      <protection hidden="1"/>
    </xf>
    <xf numFmtId="0" fontId="6" fillId="0" borderId="0" xfId="0" applyFont="1" applyFill="1" applyAlignment="1" applyProtection="1">
      <alignment horizontal="centerContinuous"/>
      <protection hidden="1"/>
    </xf>
    <xf numFmtId="0" fontId="6" fillId="2" borderId="0" xfId="0" applyNumberFormat="1" applyFont="1" applyFill="1" applyBorder="1" applyAlignment="1" applyProtection="1">
      <alignment horizontal="centerContinuous"/>
      <protection hidden="1"/>
    </xf>
    <xf numFmtId="0" fontId="6" fillId="2" borderId="2" xfId="0" applyFont="1" applyFill="1" applyBorder="1" applyAlignment="1" applyProtection="1">
      <alignment/>
      <protection hidden="1"/>
    </xf>
    <xf numFmtId="171" fontId="6" fillId="2" borderId="2" xfId="0" applyNumberFormat="1" applyFont="1" applyFill="1" applyBorder="1" applyAlignment="1" applyProtection="1">
      <alignment/>
      <protection hidden="1"/>
    </xf>
    <xf numFmtId="2" fontId="9" fillId="3" borderId="11" xfId="0" applyNumberFormat="1" applyFont="1" applyFill="1" applyBorder="1" applyAlignment="1" applyProtection="1">
      <alignment horizontal="right"/>
      <protection hidden="1"/>
    </xf>
    <xf numFmtId="0" fontId="9" fillId="0" borderId="2" xfId="0" applyFont="1" applyFill="1" applyBorder="1" applyAlignment="1" applyProtection="1">
      <alignment horizontal="left"/>
      <protection hidden="1"/>
    </xf>
    <xf numFmtId="1" fontId="9" fillId="0" borderId="2" xfId="0" applyNumberFormat="1" applyFont="1" applyFill="1" applyBorder="1" applyAlignment="1" applyProtection="1">
      <alignment horizontal="center"/>
      <protection hidden="1"/>
    </xf>
    <xf numFmtId="0" fontId="6" fillId="0" borderId="12" xfId="0" applyFont="1" applyFill="1" applyBorder="1" applyAlignment="1" applyProtection="1">
      <alignment/>
      <protection hidden="1"/>
    </xf>
    <xf numFmtId="2" fontId="6" fillId="0" borderId="0" xfId="0" applyNumberFormat="1" applyFont="1" applyFill="1" applyBorder="1" applyAlignment="1" applyProtection="1">
      <alignment/>
      <protection hidden="1"/>
    </xf>
    <xf numFmtId="2" fontId="9" fillId="0" borderId="0" xfId="0" applyNumberFormat="1" applyFont="1" applyFill="1" applyBorder="1" applyAlignment="1" applyProtection="1">
      <alignment horizontal="right"/>
      <protection hidden="1"/>
    </xf>
    <xf numFmtId="0" fontId="9" fillId="0" borderId="11" xfId="0" applyFont="1" applyFill="1" applyBorder="1" applyAlignment="1" applyProtection="1">
      <alignment/>
      <protection hidden="1"/>
    </xf>
    <xf numFmtId="0" fontId="10" fillId="0" borderId="2" xfId="0" applyFont="1" applyFill="1" applyBorder="1" applyAlignment="1" applyProtection="1">
      <alignment horizontal="center"/>
      <protection hidden="1"/>
    </xf>
    <xf numFmtId="0" fontId="9" fillId="2" borderId="2" xfId="0" applyFont="1" applyFill="1" applyBorder="1" applyAlignment="1" applyProtection="1">
      <alignment/>
      <protection hidden="1"/>
    </xf>
    <xf numFmtId="0" fontId="9" fillId="0" borderId="12" xfId="0" applyFont="1" applyFill="1" applyBorder="1" applyAlignment="1" applyProtection="1">
      <alignment/>
      <protection hidden="1"/>
    </xf>
    <xf numFmtId="0" fontId="9" fillId="2" borderId="13" xfId="0" applyFont="1" applyFill="1" applyBorder="1" applyAlignment="1" applyProtection="1">
      <alignment/>
      <protection hidden="1"/>
    </xf>
    <xf numFmtId="0" fontId="6" fillId="2" borderId="14" xfId="0" applyFont="1" applyFill="1" applyBorder="1" applyAlignment="1" applyProtection="1">
      <alignment/>
      <protection hidden="1"/>
    </xf>
    <xf numFmtId="0" fontId="9" fillId="0" borderId="15" xfId="0" applyFont="1" applyFill="1" applyBorder="1" applyAlignment="1" applyProtection="1">
      <alignment/>
      <protection hidden="1"/>
    </xf>
    <xf numFmtId="0" fontId="6" fillId="0" borderId="16" xfId="0" applyFont="1" applyFill="1" applyBorder="1" applyAlignment="1" applyProtection="1">
      <alignment/>
      <protection hidden="1"/>
    </xf>
    <xf numFmtId="0" fontId="6" fillId="2" borderId="16" xfId="0" applyFont="1" applyFill="1" applyBorder="1" applyAlignment="1" applyProtection="1">
      <alignment/>
      <protection hidden="1"/>
    </xf>
    <xf numFmtId="0" fontId="6" fillId="2" borderId="17" xfId="0" applyFont="1" applyFill="1" applyBorder="1" applyAlignment="1" applyProtection="1">
      <alignment/>
      <protection hidden="1"/>
    </xf>
    <xf numFmtId="0" fontId="6" fillId="0" borderId="18" xfId="0" applyFont="1" applyFill="1" applyBorder="1" applyAlignment="1" applyProtection="1">
      <alignment/>
      <protection hidden="1"/>
    </xf>
    <xf numFmtId="1" fontId="6"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protection hidden="1"/>
    </xf>
    <xf numFmtId="0" fontId="6" fillId="0" borderId="15"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2" borderId="17" xfId="0" applyFont="1" applyFill="1" applyBorder="1" applyAlignment="1" applyProtection="1">
      <alignment horizontal="left"/>
      <protection hidden="1"/>
    </xf>
    <xf numFmtId="171" fontId="6" fillId="2" borderId="17" xfId="0" applyNumberFormat="1" applyFont="1" applyFill="1" applyBorder="1" applyAlignment="1" applyProtection="1">
      <alignment horizontal="left"/>
      <protection hidden="1"/>
    </xf>
    <xf numFmtId="2" fontId="6" fillId="0" borderId="19" xfId="0" applyNumberFormat="1" applyFont="1" applyFill="1" applyBorder="1" applyAlignment="1" applyProtection="1">
      <alignment horizontal="left"/>
      <protection hidden="1"/>
    </xf>
    <xf numFmtId="0" fontId="6" fillId="0" borderId="20" xfId="0" applyFont="1" applyFill="1" applyBorder="1" applyAlignment="1" applyProtection="1">
      <alignment horizontal="center"/>
      <protection hidden="1"/>
    </xf>
    <xf numFmtId="1" fontId="6" fillId="0" borderId="20" xfId="0" applyNumberFormat="1" applyFont="1" applyFill="1" applyBorder="1" applyAlignment="1" applyProtection="1">
      <alignment horizontal="center"/>
      <protection hidden="1"/>
    </xf>
    <xf numFmtId="0" fontId="6" fillId="0" borderId="21" xfId="0" applyFont="1" applyFill="1" applyBorder="1" applyAlignment="1" applyProtection="1">
      <alignment horizontal="centerContinuous"/>
      <protection hidden="1"/>
    </xf>
    <xf numFmtId="0" fontId="8" fillId="0" borderId="22" xfId="0" applyFont="1" applyFill="1" applyBorder="1" applyAlignment="1" applyProtection="1">
      <alignment horizontal="centerContinuous"/>
      <protection hidden="1"/>
    </xf>
    <xf numFmtId="0" fontId="8" fillId="0" borderId="23" xfId="0" applyFont="1" applyFill="1" applyBorder="1" applyAlignment="1" applyProtection="1">
      <alignment horizontal="centerContinuous"/>
      <protection hidden="1"/>
    </xf>
    <xf numFmtId="0" fontId="8" fillId="0" borderId="24" xfId="0" applyFont="1" applyFill="1" applyBorder="1" applyAlignment="1" applyProtection="1">
      <alignment horizontal="centerContinuous"/>
      <protection hidden="1"/>
    </xf>
    <xf numFmtId="0" fontId="6" fillId="0" borderId="0" xfId="0" applyFont="1" applyAlignment="1" applyProtection="1">
      <alignment horizontal="center"/>
      <protection hidden="1"/>
    </xf>
    <xf numFmtId="0" fontId="6" fillId="0" borderId="0" xfId="0" applyFont="1" applyAlignment="1" applyProtection="1">
      <alignment/>
      <protection hidden="1"/>
    </xf>
    <xf numFmtId="2" fontId="6" fillId="0" borderId="6" xfId="0" applyNumberFormat="1" applyFont="1" applyFill="1" applyBorder="1" applyAlignment="1" applyProtection="1">
      <alignment/>
      <protection hidden="1"/>
    </xf>
    <xf numFmtId="0" fontId="6" fillId="0" borderId="6" xfId="0" applyFont="1" applyFill="1" applyBorder="1" applyAlignment="1" applyProtection="1">
      <alignment/>
      <protection hidden="1"/>
    </xf>
    <xf numFmtId="0" fontId="6" fillId="2" borderId="6" xfId="0" applyFont="1" applyFill="1" applyBorder="1" applyAlignment="1" applyProtection="1">
      <alignment/>
      <protection hidden="1"/>
    </xf>
    <xf numFmtId="0" fontId="6" fillId="0" borderId="6" xfId="0" applyFont="1" applyFill="1" applyBorder="1" applyAlignment="1" applyProtection="1">
      <alignment horizontal="centerContinuous"/>
      <protection hidden="1"/>
    </xf>
    <xf numFmtId="0" fontId="9"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9" fillId="2" borderId="25" xfId="0" applyFont="1" applyFill="1" applyBorder="1" applyAlignment="1" applyProtection="1">
      <alignment horizontal="center"/>
      <protection hidden="1"/>
    </xf>
    <xf numFmtId="0" fontId="9" fillId="2" borderId="0" xfId="0" applyFont="1" applyFill="1" applyBorder="1" applyAlignment="1" applyProtection="1">
      <alignment horizontal="centerContinuous"/>
      <protection hidden="1"/>
    </xf>
    <xf numFmtId="0" fontId="6" fillId="0" borderId="13" xfId="0" applyFont="1" applyFill="1" applyBorder="1" applyAlignment="1" applyProtection="1">
      <alignment/>
      <protection hidden="1"/>
    </xf>
    <xf numFmtId="0" fontId="9" fillId="0" borderId="14" xfId="0" applyFont="1" applyFill="1" applyBorder="1" applyAlignment="1" applyProtection="1">
      <alignment horizontal="right"/>
      <protection hidden="1"/>
    </xf>
    <xf numFmtId="0" fontId="9" fillId="2" borderId="16" xfId="0" applyFont="1" applyFill="1" applyBorder="1" applyAlignment="1" applyProtection="1">
      <alignment horizontal="center"/>
      <protection hidden="1"/>
    </xf>
    <xf numFmtId="0" fontId="9" fillId="2" borderId="14" xfId="0" applyFont="1" applyFill="1" applyBorder="1" applyAlignment="1" applyProtection="1">
      <alignment horizontal="right"/>
      <protection hidden="1"/>
    </xf>
    <xf numFmtId="0" fontId="9" fillId="2" borderId="14" xfId="0" applyFont="1" applyFill="1" applyBorder="1" applyAlignment="1" applyProtection="1">
      <alignment horizontal="centerContinuous"/>
      <protection hidden="1"/>
    </xf>
    <xf numFmtId="1" fontId="9" fillId="3" borderId="18" xfId="0" applyNumberFormat="1" applyFont="1" applyFill="1" applyBorder="1" applyAlignment="1" applyProtection="1">
      <alignment horizontal="center"/>
      <protection hidden="1"/>
    </xf>
    <xf numFmtId="1" fontId="9" fillId="2" borderId="0" xfId="0" applyNumberFormat="1" applyFont="1" applyFill="1" applyBorder="1" applyAlignment="1" applyProtection="1">
      <alignment horizontal="center"/>
      <protection hidden="1"/>
    </xf>
    <xf numFmtId="1" fontId="9" fillId="0" borderId="0" xfId="0" applyNumberFormat="1" applyFont="1" applyBorder="1" applyAlignment="1" applyProtection="1">
      <alignment horizontal="left"/>
      <protection hidden="1"/>
    </xf>
    <xf numFmtId="0" fontId="6" fillId="0" borderId="13" xfId="0" applyFont="1" applyFill="1" applyBorder="1" applyAlignment="1" applyProtection="1">
      <alignment horizontal="centerContinuous"/>
      <protection hidden="1"/>
    </xf>
    <xf numFmtId="0" fontId="9" fillId="0" borderId="14" xfId="0" applyFont="1" applyFill="1" applyBorder="1" applyAlignment="1" applyProtection="1">
      <alignment horizontal="centerContinuous"/>
      <protection hidden="1"/>
    </xf>
    <xf numFmtId="171" fontId="6" fillId="2" borderId="14" xfId="0" applyNumberFormat="1" applyFont="1" applyFill="1" applyBorder="1" applyAlignment="1" applyProtection="1">
      <alignment horizontal="centerContinuous"/>
      <protection hidden="1"/>
    </xf>
    <xf numFmtId="2" fontId="9" fillId="0" borderId="14" xfId="0" applyNumberFormat="1" applyFont="1" applyFill="1" applyBorder="1" applyAlignment="1" applyProtection="1">
      <alignment horizontal="right"/>
      <protection hidden="1"/>
    </xf>
    <xf numFmtId="1" fontId="9" fillId="0" borderId="18" xfId="0" applyNumberFormat="1" applyFont="1" applyBorder="1" applyAlignment="1" applyProtection="1">
      <alignment horizontal="center"/>
      <protection hidden="1"/>
    </xf>
    <xf numFmtId="170" fontId="6" fillId="0" borderId="26" xfId="0" applyNumberFormat="1" applyFont="1" applyFill="1" applyBorder="1" applyAlignment="1" applyProtection="1">
      <alignment horizontal="centerContinuous"/>
      <protection hidden="1"/>
    </xf>
    <xf numFmtId="0" fontId="6" fillId="0" borderId="1" xfId="0" applyFont="1" applyFill="1" applyBorder="1" applyAlignment="1" applyProtection="1">
      <alignment horizontal="centerContinuous"/>
      <protection hidden="1"/>
    </xf>
    <xf numFmtId="0" fontId="6" fillId="0" borderId="22" xfId="0" applyFont="1" applyFill="1" applyBorder="1" applyAlignment="1" applyProtection="1">
      <alignment horizontal="centerContinuous"/>
      <protection hidden="1"/>
    </xf>
    <xf numFmtId="0" fontId="6" fillId="0" borderId="23" xfId="0" applyFont="1" applyFill="1" applyBorder="1" applyAlignment="1" applyProtection="1">
      <alignment horizontal="centerContinuous"/>
      <protection hidden="1"/>
    </xf>
    <xf numFmtId="0" fontId="6" fillId="0" borderId="24" xfId="0" applyFont="1" applyFill="1" applyBorder="1" applyAlignment="1" applyProtection="1">
      <alignment horizontal="centerContinuous"/>
      <protection hidden="1"/>
    </xf>
    <xf numFmtId="0" fontId="8" fillId="0" borderId="0" xfId="0" applyFont="1" applyFill="1" applyBorder="1" applyAlignment="1" applyProtection="1">
      <alignment horizontal="centerContinuous"/>
      <protection hidden="1"/>
    </xf>
    <xf numFmtId="0" fontId="6" fillId="2" borderId="1" xfId="0" applyFont="1" applyFill="1" applyBorder="1" applyAlignment="1">
      <alignment horizontal="center"/>
    </xf>
    <xf numFmtId="0" fontId="9" fillId="0" borderId="27" xfId="0" applyFont="1" applyFill="1" applyBorder="1" applyAlignment="1" applyProtection="1">
      <alignment horizontal="center"/>
      <protection hidden="1"/>
    </xf>
    <xf numFmtId="0" fontId="10" fillId="0" borderId="25" xfId="0" applyFont="1" applyFill="1" applyBorder="1" applyAlignment="1" applyProtection="1">
      <alignment horizontal="center"/>
      <protection hidden="1"/>
    </xf>
    <xf numFmtId="0" fontId="6" fillId="2" borderId="25" xfId="0" applyFont="1" applyFill="1" applyBorder="1" applyAlignment="1" applyProtection="1">
      <alignment/>
      <protection hidden="1"/>
    </xf>
    <xf numFmtId="0" fontId="9" fillId="0" borderId="28" xfId="0" applyFont="1" applyFill="1" applyBorder="1" applyAlignment="1" applyProtection="1">
      <alignment/>
      <protection hidden="1"/>
    </xf>
    <xf numFmtId="0" fontId="9" fillId="2" borderId="25" xfId="0" applyFont="1" applyFill="1" applyBorder="1" applyAlignment="1" applyProtection="1">
      <alignment/>
      <protection hidden="1"/>
    </xf>
    <xf numFmtId="0" fontId="9" fillId="0" borderId="29" xfId="0" applyFont="1" applyFill="1" applyBorder="1" applyAlignment="1" applyProtection="1">
      <alignment horizontal="center"/>
      <protection hidden="1"/>
    </xf>
    <xf numFmtId="0" fontId="9" fillId="0" borderId="25" xfId="0" applyFont="1" applyFill="1" applyBorder="1" applyAlignment="1" applyProtection="1">
      <alignment horizontal="center"/>
      <protection hidden="1"/>
    </xf>
    <xf numFmtId="0" fontId="9" fillId="2" borderId="30" xfId="0" applyFont="1" applyFill="1" applyBorder="1" applyAlignment="1" applyProtection="1">
      <alignment horizontal="center"/>
      <protection hidden="1"/>
    </xf>
    <xf numFmtId="0" fontId="6" fillId="2" borderId="1"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1" fontId="9" fillId="2" borderId="28" xfId="0" applyNumberFormat="1" applyFont="1" applyFill="1" applyBorder="1" applyAlignment="1" applyProtection="1">
      <alignment horizontal="center"/>
      <protection hidden="1"/>
    </xf>
    <xf numFmtId="0" fontId="9" fillId="2" borderId="28" xfId="0" applyFont="1" applyFill="1" applyBorder="1" applyAlignment="1" applyProtection="1">
      <alignment horizontal="center"/>
      <protection hidden="1"/>
    </xf>
    <xf numFmtId="0" fontId="9" fillId="0" borderId="31" xfId="0" applyFont="1" applyFill="1" applyBorder="1" applyAlignment="1" applyProtection="1">
      <alignment horizontal="center"/>
      <protection hidden="1"/>
    </xf>
    <xf numFmtId="171" fontId="9" fillId="2" borderId="25" xfId="0" applyNumberFormat="1" applyFont="1" applyFill="1" applyBorder="1" applyAlignment="1" applyProtection="1">
      <alignment horizontal="centerContinuous"/>
      <protection hidden="1"/>
    </xf>
    <xf numFmtId="2" fontId="10" fillId="0" borderId="31" xfId="0" applyNumberFormat="1" applyFont="1" applyFill="1" applyBorder="1" applyAlignment="1" applyProtection="1">
      <alignment horizontal="center"/>
      <protection hidden="1"/>
    </xf>
    <xf numFmtId="0" fontId="9" fillId="0" borderId="21" xfId="0" applyFont="1" applyFill="1" applyBorder="1" applyAlignment="1" applyProtection="1">
      <alignment horizontal="center"/>
      <protection hidden="1"/>
    </xf>
    <xf numFmtId="1" fontId="9" fillId="0" borderId="28" xfId="0" applyNumberFormat="1" applyFont="1" applyFill="1" applyBorder="1" applyAlignment="1" applyProtection="1">
      <alignment horizontal="center"/>
      <protection hidden="1"/>
    </xf>
    <xf numFmtId="0" fontId="6" fillId="0" borderId="0" xfId="0" applyFont="1" applyFill="1" applyBorder="1" applyAlignment="1" applyProtection="1">
      <alignment horizontal="right"/>
      <protection hidden="1"/>
    </xf>
    <xf numFmtId="0" fontId="6" fillId="0" borderId="32" xfId="0" applyFont="1" applyFill="1" applyBorder="1" applyAlignment="1" applyProtection="1">
      <alignment horizontal="centerContinuous"/>
      <protection hidden="1"/>
    </xf>
    <xf numFmtId="0" fontId="6" fillId="0" borderId="1" xfId="0" applyFont="1" applyFill="1" applyBorder="1" applyAlignment="1" applyProtection="1">
      <alignment/>
      <protection hidden="1"/>
    </xf>
    <xf numFmtId="0" fontId="6" fillId="0" borderId="23" xfId="0" applyFont="1" applyBorder="1" applyAlignment="1" applyProtection="1">
      <alignment horizontal="centerContinuous"/>
      <protection hidden="1"/>
    </xf>
    <xf numFmtId="0" fontId="6" fillId="0" borderId="27" xfId="0" applyFont="1" applyBorder="1" applyAlignment="1" applyProtection="1">
      <alignment horizontal="center"/>
      <protection/>
    </xf>
    <xf numFmtId="0" fontId="8" fillId="0" borderId="25" xfId="0" applyFont="1" applyBorder="1" applyAlignment="1" applyProtection="1">
      <alignment/>
      <protection/>
    </xf>
    <xf numFmtId="2" fontId="8" fillId="2" borderId="25" xfId="0" applyNumberFormat="1" applyFont="1" applyFill="1" applyBorder="1" applyAlignment="1" applyProtection="1">
      <alignment horizontal="left"/>
      <protection/>
    </xf>
    <xf numFmtId="1" fontId="8" fillId="0" borderId="25" xfId="0" applyNumberFormat="1" applyFont="1" applyBorder="1" applyAlignment="1" applyProtection="1">
      <alignment horizontal="center"/>
      <protection/>
    </xf>
    <xf numFmtId="2" fontId="8" fillId="0" borderId="33" xfId="0" applyNumberFormat="1" applyFont="1" applyBorder="1" applyAlignment="1" applyProtection="1">
      <alignment horizontal="center"/>
      <protection/>
    </xf>
    <xf numFmtId="0" fontId="8" fillId="0" borderId="34" xfId="0" applyFont="1" applyBorder="1" applyAlignment="1" applyProtection="1">
      <alignment horizontal="center"/>
      <protection/>
    </xf>
    <xf numFmtId="0" fontId="8" fillId="2" borderId="25" xfId="0" applyFont="1" applyFill="1" applyBorder="1" applyAlignment="1" applyProtection="1">
      <alignment horizontal="center"/>
      <protection/>
    </xf>
    <xf numFmtId="0" fontId="8" fillId="0" borderId="33" xfId="0" applyFont="1" applyBorder="1" applyAlignment="1" applyProtection="1">
      <alignment horizontal="centerContinuous"/>
      <protection/>
    </xf>
    <xf numFmtId="0" fontId="8" fillId="0" borderId="34" xfId="0" applyFont="1" applyBorder="1" applyAlignment="1" applyProtection="1">
      <alignment horizontal="centerContinuous"/>
      <protection/>
    </xf>
    <xf numFmtId="0" fontId="8" fillId="2" borderId="25" xfId="0" applyFont="1" applyFill="1" applyBorder="1" applyAlignment="1" applyProtection="1">
      <alignment/>
      <protection/>
    </xf>
    <xf numFmtId="169" fontId="8" fillId="0" borderId="25" xfId="0" applyNumberFormat="1" applyFont="1" applyBorder="1" applyAlignment="1" applyProtection="1">
      <alignment horizontal="center"/>
      <protection/>
    </xf>
    <xf numFmtId="169" fontId="8" fillId="0" borderId="35" xfId="0" applyNumberFormat="1" applyFont="1" applyBorder="1" applyAlignment="1" applyProtection="1">
      <alignment horizontal="center"/>
      <protection/>
    </xf>
    <xf numFmtId="169" fontId="8" fillId="0" borderId="0" xfId="0" applyNumberFormat="1" applyFont="1" applyBorder="1" applyAlignment="1" applyProtection="1">
      <alignment horizontal="center"/>
      <protection/>
    </xf>
    <xf numFmtId="0" fontId="6" fillId="2" borderId="32" xfId="0" applyFont="1" applyFill="1" applyBorder="1" applyAlignment="1">
      <alignment horizontal="center"/>
    </xf>
    <xf numFmtId="0" fontId="9" fillId="0" borderId="36" xfId="0" applyFont="1" applyFill="1" applyBorder="1" applyAlignment="1" applyProtection="1">
      <alignment horizontal="center"/>
      <protection hidden="1"/>
    </xf>
    <xf numFmtId="0" fontId="9" fillId="2" borderId="6" xfId="0" applyFont="1" applyFill="1" applyBorder="1" applyAlignment="1" applyProtection="1">
      <alignment/>
      <protection hidden="1"/>
    </xf>
    <xf numFmtId="0" fontId="9" fillId="0" borderId="37" xfId="0" applyFont="1" applyFill="1" applyBorder="1" applyAlignment="1" applyProtection="1">
      <alignment horizontal="center"/>
      <protection hidden="1"/>
    </xf>
    <xf numFmtId="0" fontId="9" fillId="2" borderId="6" xfId="0" applyFont="1" applyFill="1" applyBorder="1" applyAlignment="1" applyProtection="1">
      <alignment/>
      <protection hidden="1"/>
    </xf>
    <xf numFmtId="0" fontId="9" fillId="2" borderId="6" xfId="0" applyFont="1" applyFill="1" applyBorder="1" applyAlignment="1" applyProtection="1">
      <alignment horizontal="centerContinuous"/>
      <protection hidden="1"/>
    </xf>
    <xf numFmtId="0" fontId="9" fillId="0" borderId="38" xfId="0" applyFont="1" applyFill="1" applyBorder="1" applyAlignment="1" applyProtection="1">
      <alignment horizontal="center"/>
      <protection hidden="1"/>
    </xf>
    <xf numFmtId="0" fontId="9" fillId="0" borderId="6" xfId="0" applyFont="1" applyFill="1" applyBorder="1" applyAlignment="1" applyProtection="1">
      <alignment horizontal="center"/>
      <protection hidden="1"/>
    </xf>
    <xf numFmtId="0" fontId="9" fillId="2" borderId="39" xfId="0" applyFont="1" applyFill="1" applyBorder="1" applyAlignment="1" applyProtection="1">
      <alignment horizontal="center"/>
      <protection hidden="1"/>
    </xf>
    <xf numFmtId="0" fontId="9" fillId="2" borderId="2" xfId="0" applyFont="1" applyFill="1" applyBorder="1" applyAlignment="1" applyProtection="1">
      <alignment horizontal="center"/>
      <protection hidden="1"/>
    </xf>
    <xf numFmtId="0" fontId="6" fillId="2" borderId="39" xfId="0" applyFont="1" applyFill="1" applyBorder="1" applyAlignment="1" applyProtection="1">
      <alignment horizontal="center"/>
      <protection hidden="1"/>
    </xf>
    <xf numFmtId="1" fontId="9" fillId="2" borderId="37" xfId="0" applyNumberFormat="1" applyFont="1" applyFill="1" applyBorder="1" applyAlignment="1" applyProtection="1">
      <alignment horizontal="center"/>
      <protection hidden="1"/>
    </xf>
    <xf numFmtId="0" fontId="9" fillId="2" borderId="37" xfId="0" applyFont="1" applyFill="1" applyBorder="1" applyAlignment="1" applyProtection="1">
      <alignment horizontal="center"/>
      <protection hidden="1"/>
    </xf>
    <xf numFmtId="0" fontId="9" fillId="0" borderId="40" xfId="0" applyFont="1" applyFill="1" applyBorder="1" applyAlignment="1" applyProtection="1">
      <alignment horizontal="center"/>
      <protection hidden="1"/>
    </xf>
    <xf numFmtId="0" fontId="9" fillId="2" borderId="41"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171" fontId="9" fillId="2" borderId="0" xfId="0" applyNumberFormat="1" applyFont="1" applyFill="1" applyBorder="1" applyAlignment="1" applyProtection="1">
      <alignment horizontal="centerContinuous"/>
      <protection hidden="1"/>
    </xf>
    <xf numFmtId="2" fontId="9" fillId="0" borderId="40" xfId="0" applyNumberFormat="1" applyFont="1" applyFill="1" applyBorder="1" applyAlignment="1" applyProtection="1">
      <alignment horizontal="center"/>
      <protection hidden="1"/>
    </xf>
    <xf numFmtId="1" fontId="9" fillId="0" borderId="37" xfId="0" applyNumberFormat="1" applyFont="1" applyFill="1" applyBorder="1" applyAlignment="1" applyProtection="1">
      <alignment horizontal="center"/>
      <protection hidden="1"/>
    </xf>
    <xf numFmtId="0" fontId="6" fillId="0" borderId="39" xfId="0" applyFont="1" applyFill="1" applyBorder="1" applyAlignment="1" applyProtection="1">
      <alignment horizontal="centerContinuous"/>
      <protection hidden="1"/>
    </xf>
    <xf numFmtId="0" fontId="6" fillId="0" borderId="39" xfId="0" applyFont="1" applyFill="1" applyBorder="1" applyAlignment="1" applyProtection="1">
      <alignment/>
      <protection hidden="1"/>
    </xf>
    <xf numFmtId="0" fontId="11" fillId="0" borderId="22" xfId="0" applyFont="1" applyFill="1" applyBorder="1" applyAlignment="1" applyProtection="1">
      <alignment horizontal="center"/>
      <protection hidden="1"/>
    </xf>
    <xf numFmtId="0" fontId="11" fillId="0" borderId="9"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36" xfId="0" applyFont="1" applyBorder="1" applyAlignment="1" applyProtection="1">
      <alignment horizontal="center"/>
      <protection/>
    </xf>
    <xf numFmtId="0" fontId="8" fillId="0" borderId="6" xfId="0" applyFont="1" applyBorder="1" applyAlignment="1" applyProtection="1">
      <alignment/>
      <protection/>
    </xf>
    <xf numFmtId="2" fontId="8" fillId="2" borderId="6" xfId="0" applyNumberFormat="1" applyFont="1" applyFill="1" applyBorder="1" applyAlignment="1" applyProtection="1">
      <alignment/>
      <protection/>
    </xf>
    <xf numFmtId="1" fontId="8" fillId="0" borderId="6" xfId="0" applyNumberFormat="1" applyFont="1" applyBorder="1" applyAlignment="1" applyProtection="1">
      <alignment horizontal="center"/>
      <protection/>
    </xf>
    <xf numFmtId="2" fontId="8" fillId="0" borderId="42" xfId="0" applyNumberFormat="1" applyFont="1" applyBorder="1" applyAlignment="1" applyProtection="1">
      <alignment horizontal="center"/>
      <protection/>
    </xf>
    <xf numFmtId="0" fontId="8" fillId="0" borderId="43" xfId="0" applyFont="1" applyBorder="1" applyAlignment="1" applyProtection="1">
      <alignment horizontal="center"/>
      <protection/>
    </xf>
    <xf numFmtId="0" fontId="8" fillId="2" borderId="6" xfId="0" applyFont="1" applyFill="1" applyBorder="1" applyAlignment="1" applyProtection="1">
      <alignment horizontal="center"/>
      <protection/>
    </xf>
    <xf numFmtId="0" fontId="8" fillId="0" borderId="42" xfId="0" applyFont="1" applyBorder="1" applyAlignment="1" applyProtection="1">
      <alignment horizontal="centerContinuous"/>
      <protection/>
    </xf>
    <xf numFmtId="0" fontId="8" fillId="0" borderId="43" xfId="0" applyFont="1" applyBorder="1" applyAlignment="1" applyProtection="1">
      <alignment horizontal="centerContinuous"/>
      <protection/>
    </xf>
    <xf numFmtId="0" fontId="8" fillId="2" borderId="6" xfId="0" applyFont="1" applyFill="1" applyBorder="1" applyAlignment="1" applyProtection="1">
      <alignment/>
      <protection/>
    </xf>
    <xf numFmtId="169" fontId="8" fillId="0" borderId="6" xfId="0" applyNumberFormat="1" applyFont="1" applyBorder="1" applyAlignment="1" applyProtection="1">
      <alignment horizontal="center"/>
      <protection/>
    </xf>
    <xf numFmtId="169" fontId="8" fillId="0" borderId="44" xfId="0" applyNumberFormat="1" applyFont="1" applyBorder="1" applyAlignment="1" applyProtection="1">
      <alignment horizontal="center"/>
      <protection/>
    </xf>
    <xf numFmtId="0" fontId="6" fillId="2" borderId="39" xfId="0" applyFont="1" applyFill="1" applyBorder="1" applyAlignment="1" applyProtection="1">
      <alignment horizontal="center"/>
      <protection hidden="1"/>
    </xf>
    <xf numFmtId="0" fontId="12" fillId="0" borderId="0" xfId="0" applyFont="1" applyFill="1" applyAlignment="1" applyProtection="1">
      <alignment horizontal="center"/>
      <protection hidden="1"/>
    </xf>
    <xf numFmtId="168" fontId="6" fillId="2" borderId="0" xfId="0" applyNumberFormat="1" applyFont="1" applyFill="1" applyAlignment="1" applyProtection="1">
      <alignment horizontal="right"/>
      <protection hidden="1"/>
    </xf>
    <xf numFmtId="0" fontId="6" fillId="0" borderId="45" xfId="0" applyFont="1" applyFill="1" applyBorder="1" applyAlignment="1" applyProtection="1">
      <alignment/>
      <protection hidden="1"/>
    </xf>
    <xf numFmtId="0" fontId="6" fillId="0" borderId="46" xfId="0" applyFont="1" applyFill="1" applyBorder="1" applyAlignment="1" applyProtection="1">
      <alignment/>
      <protection hidden="1"/>
    </xf>
    <xf numFmtId="0" fontId="6" fillId="2" borderId="32" xfId="0" applyFont="1" applyFill="1" applyBorder="1" applyAlignment="1" applyProtection="1">
      <alignment horizontal="center"/>
      <protection hidden="1"/>
    </xf>
    <xf numFmtId="0" fontId="6" fillId="2" borderId="1" xfId="0" applyFont="1" applyFill="1" applyBorder="1" applyAlignment="1" applyProtection="1">
      <alignment horizontal="centerContinuous"/>
      <protection hidden="1"/>
    </xf>
    <xf numFmtId="2" fontId="6" fillId="0" borderId="45" xfId="0" applyNumberFormat="1" applyFont="1" applyFill="1" applyBorder="1" applyAlignment="1" applyProtection="1">
      <alignment/>
      <protection hidden="1"/>
    </xf>
    <xf numFmtId="1" fontId="6" fillId="2" borderId="45" xfId="0" applyNumberFormat="1" applyFont="1" applyFill="1" applyBorder="1" applyAlignment="1" applyProtection="1">
      <alignment horizontal="center"/>
      <protection hidden="1"/>
    </xf>
    <xf numFmtId="2" fontId="6" fillId="2" borderId="45" xfId="0" applyNumberFormat="1" applyFont="1" applyFill="1" applyBorder="1" applyAlignment="1" applyProtection="1">
      <alignment/>
      <protection hidden="1"/>
    </xf>
    <xf numFmtId="0" fontId="6" fillId="0" borderId="26" xfId="0" applyFont="1" applyFill="1" applyBorder="1" applyAlignment="1" applyProtection="1">
      <alignment/>
      <protection hidden="1"/>
    </xf>
    <xf numFmtId="2" fontId="8" fillId="0" borderId="26" xfId="0" applyNumberFormat="1" applyFont="1" applyFill="1" applyBorder="1" applyAlignment="1" applyProtection="1">
      <alignment/>
      <protection hidden="1"/>
    </xf>
    <xf numFmtId="169" fontId="6" fillId="0" borderId="26" xfId="0" applyNumberFormat="1"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0" fontId="6" fillId="0" borderId="5" xfId="0" applyFont="1" applyFill="1" applyBorder="1" applyAlignment="1" applyProtection="1">
      <alignment/>
      <protection hidden="1"/>
    </xf>
    <xf numFmtId="0" fontId="6" fillId="0" borderId="7" xfId="0" applyFont="1" applyFill="1" applyBorder="1" applyAlignment="1" applyProtection="1">
      <alignment horizontal="center"/>
      <protection hidden="1"/>
    </xf>
    <xf numFmtId="0" fontId="6" fillId="0" borderId="1" xfId="0" applyFont="1" applyBorder="1" applyAlignment="1" applyProtection="1">
      <alignment/>
      <protection hidden="1"/>
    </xf>
    <xf numFmtId="0" fontId="6" fillId="0" borderId="47" xfId="0" applyFont="1" applyBorder="1" applyAlignment="1" applyProtection="1">
      <alignment/>
      <protection hidden="1"/>
    </xf>
    <xf numFmtId="0" fontId="6" fillId="0" borderId="48" xfId="0" applyFont="1" applyBorder="1" applyAlignment="1" applyProtection="1">
      <alignment horizontal="center"/>
      <protection/>
    </xf>
    <xf numFmtId="0" fontId="8" fillId="0" borderId="0" xfId="0" applyFont="1" applyBorder="1" applyAlignment="1" applyProtection="1">
      <alignment horizontal="center"/>
      <protection/>
    </xf>
    <xf numFmtId="2" fontId="6" fillId="2" borderId="0" xfId="0" applyNumberFormat="1" applyFont="1" applyFill="1" applyBorder="1" applyAlignment="1" applyProtection="1">
      <alignment/>
      <protection/>
    </xf>
    <xf numFmtId="1" fontId="6" fillId="0" borderId="0" xfId="0" applyNumberFormat="1" applyFont="1" applyBorder="1" applyAlignment="1" applyProtection="1">
      <alignment horizontal="center"/>
      <protection/>
    </xf>
    <xf numFmtId="2" fontId="6" fillId="0" borderId="5" xfId="0" applyNumberFormat="1" applyFont="1" applyBorder="1" applyAlignment="1" applyProtection="1">
      <alignment horizontal="center"/>
      <protection/>
    </xf>
    <xf numFmtId="0" fontId="6" fillId="0" borderId="10" xfId="0" applyFont="1" applyBorder="1" applyAlignment="1" applyProtection="1">
      <alignment horizontal="center"/>
      <protection/>
    </xf>
    <xf numFmtId="0" fontId="6" fillId="2" borderId="0" xfId="0" applyFont="1" applyFill="1" applyBorder="1" applyAlignment="1" applyProtection="1">
      <alignment horizontal="center"/>
      <protection/>
    </xf>
    <xf numFmtId="0" fontId="6" fillId="0" borderId="5" xfId="0" applyFont="1" applyBorder="1" applyAlignment="1" applyProtection="1">
      <alignment horizontal="centerContinuous"/>
      <protection/>
    </xf>
    <xf numFmtId="0" fontId="6" fillId="0" borderId="10" xfId="0" applyFont="1" applyBorder="1" applyAlignment="1" applyProtection="1">
      <alignment horizontal="centerContinuous"/>
      <protection/>
    </xf>
    <xf numFmtId="2" fontId="6" fillId="0" borderId="0" xfId="0" applyNumberFormat="1" applyFont="1" applyBorder="1" applyAlignment="1" applyProtection="1">
      <alignment horizontal="center"/>
      <protection/>
    </xf>
    <xf numFmtId="0" fontId="6" fillId="2" borderId="0" xfId="0" applyFont="1" applyFill="1" applyBorder="1" applyAlignment="1" applyProtection="1">
      <alignment/>
      <protection/>
    </xf>
    <xf numFmtId="169" fontId="6" fillId="0" borderId="49" xfId="0" applyNumberFormat="1" applyFont="1" applyBorder="1" applyAlignment="1" applyProtection="1">
      <alignment horizontal="center"/>
      <protection/>
    </xf>
    <xf numFmtId="169" fontId="6" fillId="0" borderId="0" xfId="0" applyNumberFormat="1" applyFont="1" applyBorder="1" applyAlignment="1" applyProtection="1">
      <alignment horizontal="center"/>
      <protection/>
    </xf>
    <xf numFmtId="0" fontId="6" fillId="2" borderId="32" xfId="0" applyFont="1" applyFill="1" applyBorder="1" applyAlignment="1">
      <alignment/>
    </xf>
    <xf numFmtId="0" fontId="6" fillId="2" borderId="32" xfId="0" applyFont="1" applyFill="1" applyBorder="1" applyAlignment="1" applyProtection="1">
      <alignment horizontal="centerContinuous"/>
      <protection hidden="1"/>
    </xf>
    <xf numFmtId="0" fontId="6" fillId="0" borderId="5" xfId="0" applyFont="1" applyFill="1" applyBorder="1" applyAlignment="1" applyProtection="1">
      <alignment horizontal="center"/>
      <protection hidden="1"/>
    </xf>
    <xf numFmtId="0" fontId="6" fillId="0" borderId="32" xfId="0" applyFont="1" applyFill="1" applyBorder="1" applyAlignment="1" applyProtection="1">
      <alignment/>
      <protection hidden="1"/>
    </xf>
    <xf numFmtId="2" fontId="6" fillId="0" borderId="46" xfId="0" applyNumberFormat="1" applyFont="1" applyFill="1" applyBorder="1" applyAlignment="1" applyProtection="1">
      <alignment/>
      <protection hidden="1"/>
    </xf>
    <xf numFmtId="0" fontId="6" fillId="2" borderId="46" xfId="0" applyFont="1" applyFill="1" applyBorder="1" applyAlignment="1" applyProtection="1">
      <alignment/>
      <protection hidden="1"/>
    </xf>
    <xf numFmtId="0" fontId="14" fillId="0" borderId="0" xfId="0" applyFont="1" applyBorder="1" applyAlignment="1" applyProtection="1">
      <alignment horizontal="center"/>
      <protection/>
    </xf>
    <xf numFmtId="1" fontId="13" fillId="0" borderId="5" xfId="0" applyNumberFormat="1" applyFont="1" applyBorder="1" applyAlignment="1" applyProtection="1">
      <alignment horizontal="center"/>
      <protection hidden="1"/>
    </xf>
    <xf numFmtId="0" fontId="13" fillId="0" borderId="32" xfId="0" applyFont="1" applyBorder="1" applyAlignment="1" applyProtection="1">
      <alignment/>
      <protection hidden="1"/>
    </xf>
    <xf numFmtId="0" fontId="13" fillId="0" borderId="10" xfId="0" applyFont="1" applyBorder="1" applyAlignment="1" applyProtection="1">
      <alignment/>
      <protection hidden="1"/>
    </xf>
    <xf numFmtId="0" fontId="6" fillId="0" borderId="45" xfId="0" applyFont="1" applyBorder="1" applyAlignment="1">
      <alignment/>
    </xf>
    <xf numFmtId="0" fontId="6" fillId="0" borderId="46" xfId="0" applyFont="1" applyFill="1" applyBorder="1" applyAlignment="1">
      <alignment/>
    </xf>
    <xf numFmtId="0" fontId="6" fillId="0" borderId="0" xfId="0" applyFont="1" applyFill="1" applyAlignment="1">
      <alignment/>
    </xf>
    <xf numFmtId="1" fontId="13" fillId="0" borderId="11" xfId="0" applyNumberFormat="1" applyFont="1" applyBorder="1" applyAlignment="1" applyProtection="1">
      <alignment horizontal="center"/>
      <protection hidden="1"/>
    </xf>
    <xf numFmtId="0" fontId="13" fillId="0" borderId="39" xfId="0" applyFont="1" applyBorder="1" applyAlignment="1" applyProtection="1">
      <alignment/>
      <protection hidden="1"/>
    </xf>
    <xf numFmtId="0" fontId="13" fillId="0" borderId="12" xfId="0" applyFont="1" applyBorder="1" applyAlignment="1" applyProtection="1">
      <alignment/>
      <protection hidden="1"/>
    </xf>
    <xf numFmtId="0" fontId="6"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168" fontId="6" fillId="2" borderId="0" xfId="0" applyNumberFormat="1" applyFont="1" applyFill="1" applyBorder="1" applyAlignment="1" applyProtection="1">
      <alignment horizontal="right"/>
      <protection hidden="1"/>
    </xf>
    <xf numFmtId="0" fontId="8" fillId="0" borderId="6" xfId="0" applyFont="1" applyBorder="1" applyAlignment="1" applyProtection="1">
      <alignment horizontal="center"/>
      <protection/>
    </xf>
    <xf numFmtId="2" fontId="6" fillId="2" borderId="6" xfId="0" applyNumberFormat="1" applyFont="1" applyFill="1" applyBorder="1" applyAlignment="1" applyProtection="1">
      <alignment/>
      <protection/>
    </xf>
    <xf numFmtId="1" fontId="6" fillId="0" borderId="6" xfId="0" applyNumberFormat="1" applyFont="1" applyBorder="1" applyAlignment="1" applyProtection="1">
      <alignment horizontal="center"/>
      <protection/>
    </xf>
    <xf numFmtId="2" fontId="6" fillId="0" borderId="42" xfId="0" applyNumberFormat="1" applyFont="1" applyBorder="1" applyAlignment="1" applyProtection="1">
      <alignment horizontal="center"/>
      <protection/>
    </xf>
    <xf numFmtId="0" fontId="6" fillId="0" borderId="43" xfId="0" applyFont="1" applyBorder="1" applyAlignment="1" applyProtection="1">
      <alignment horizontal="center"/>
      <protection/>
    </xf>
    <xf numFmtId="0" fontId="6" fillId="2" borderId="6" xfId="0" applyFont="1" applyFill="1" applyBorder="1" applyAlignment="1" applyProtection="1">
      <alignment horizontal="center"/>
      <protection/>
    </xf>
    <xf numFmtId="0" fontId="6" fillId="0" borderId="42" xfId="0" applyFont="1" applyBorder="1" applyAlignment="1" applyProtection="1">
      <alignment horizontal="centerContinuous"/>
      <protection/>
    </xf>
    <xf numFmtId="2" fontId="6" fillId="0" borderId="6" xfId="0" applyNumberFormat="1" applyFont="1" applyBorder="1" applyAlignment="1" applyProtection="1">
      <alignment horizontal="center"/>
      <protection/>
    </xf>
    <xf numFmtId="0" fontId="6" fillId="2" borderId="6" xfId="0" applyFont="1" applyFill="1" applyBorder="1" applyAlignment="1" applyProtection="1">
      <alignment/>
      <protection/>
    </xf>
    <xf numFmtId="169" fontId="6" fillId="0" borderId="44" xfId="0" applyNumberFormat="1" applyFont="1" applyBorder="1" applyAlignment="1" applyProtection="1">
      <alignment horizontal="center"/>
      <protection/>
    </xf>
    <xf numFmtId="0" fontId="6" fillId="0" borderId="0" xfId="0" applyFont="1" applyAlignment="1">
      <alignment horizontal="right"/>
    </xf>
    <xf numFmtId="0" fontId="15" fillId="0" borderId="10" xfId="0" applyFont="1" applyFill="1" applyBorder="1" applyAlignment="1" applyProtection="1">
      <alignment/>
      <protection hidden="1"/>
    </xf>
    <xf numFmtId="2" fontId="6" fillId="0" borderId="5" xfId="0" applyNumberFormat="1" applyFont="1" applyFill="1" applyBorder="1" applyAlignment="1" applyProtection="1">
      <alignment horizontal="center"/>
      <protection/>
    </xf>
    <xf numFmtId="0" fontId="6" fillId="0" borderId="49" xfId="0" applyFont="1" applyBorder="1" applyAlignment="1">
      <alignment/>
    </xf>
    <xf numFmtId="0" fontId="6" fillId="0" borderId="0" xfId="0" applyFont="1" applyBorder="1" applyAlignment="1">
      <alignment/>
    </xf>
    <xf numFmtId="0" fontId="6" fillId="0" borderId="11" xfId="0" applyFont="1" applyFill="1" applyBorder="1" applyAlignment="1" applyProtection="1">
      <alignment horizontal="center"/>
      <protection hidden="1"/>
    </xf>
    <xf numFmtId="0" fontId="6" fillId="0" borderId="39" xfId="0" applyFont="1" applyFill="1" applyBorder="1" applyAlignment="1" applyProtection="1">
      <alignment/>
      <protection hidden="1"/>
    </xf>
    <xf numFmtId="0" fontId="6" fillId="0" borderId="0" xfId="0" applyFont="1" applyAlignment="1">
      <alignment horizontal="left"/>
    </xf>
    <xf numFmtId="0" fontId="6" fillId="0" borderId="0" xfId="0" applyFont="1" applyFill="1" applyAlignment="1">
      <alignment horizontal="left"/>
    </xf>
    <xf numFmtId="0" fontId="6" fillId="0" borderId="43" xfId="0" applyFont="1" applyBorder="1" applyAlignment="1" applyProtection="1">
      <alignment horizontal="centerContinuous"/>
      <protection/>
    </xf>
    <xf numFmtId="0" fontId="6" fillId="0" borderId="11" xfId="0" applyFont="1" applyFill="1" applyBorder="1" applyAlignment="1" applyProtection="1">
      <alignment/>
      <protection hidden="1"/>
    </xf>
    <xf numFmtId="0" fontId="6" fillId="0" borderId="2" xfId="0" applyFont="1" applyFill="1" applyBorder="1" applyAlignment="1" applyProtection="1">
      <alignment/>
      <protection hidden="1"/>
    </xf>
    <xf numFmtId="0" fontId="6" fillId="0" borderId="1" xfId="0"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0" fontId="6" fillId="0" borderId="2" xfId="0" applyFont="1" applyBorder="1" applyAlignment="1">
      <alignment horizontal="center"/>
    </xf>
    <xf numFmtId="4" fontId="6" fillId="2" borderId="0" xfId="0" applyNumberFormat="1" applyFont="1" applyFill="1" applyAlignment="1" applyProtection="1">
      <alignment horizontal="right"/>
      <protection hidden="1"/>
    </xf>
    <xf numFmtId="0" fontId="9" fillId="0" borderId="10" xfId="0" applyFont="1" applyBorder="1" applyAlignment="1">
      <alignment/>
    </xf>
    <xf numFmtId="4" fontId="6" fillId="2" borderId="0" xfId="0" applyNumberFormat="1" applyFont="1" applyFill="1" applyBorder="1" applyAlignment="1" applyProtection="1">
      <alignment horizontal="right"/>
      <protection hidden="1"/>
    </xf>
    <xf numFmtId="0" fontId="6" fillId="2" borderId="45" xfId="0" applyFont="1" applyFill="1" applyBorder="1" applyAlignment="1" applyProtection="1">
      <alignment/>
      <protection hidden="1"/>
    </xf>
    <xf numFmtId="1" fontId="6" fillId="2" borderId="0" xfId="0" applyNumberFormat="1" applyFont="1" applyFill="1" applyAlignment="1" applyProtection="1">
      <alignment horizontal="center"/>
      <protection hidden="1"/>
    </xf>
    <xf numFmtId="0" fontId="11" fillId="4" borderId="0" xfId="0" applyFont="1" applyFill="1" applyAlignment="1" applyProtection="1">
      <alignment/>
      <protection hidden="1"/>
    </xf>
    <xf numFmtId="0" fontId="6" fillId="4" borderId="0" xfId="0" applyFont="1" applyFill="1" applyAlignment="1" applyProtection="1">
      <alignment/>
      <protection hidden="1"/>
    </xf>
    <xf numFmtId="1" fontId="6" fillId="0" borderId="0" xfId="0" applyNumberFormat="1" applyFont="1" applyFill="1" applyAlignment="1" applyProtection="1">
      <alignment horizontal="center"/>
      <protection hidden="1"/>
    </xf>
    <xf numFmtId="0" fontId="6" fillId="0" borderId="0" xfId="0" applyFont="1" applyFill="1" applyBorder="1" applyAlignment="1">
      <alignment/>
    </xf>
    <xf numFmtId="0" fontId="14" fillId="0" borderId="46" xfId="0" applyFont="1" applyBorder="1" applyAlignment="1" applyProtection="1">
      <alignment horizontal="center"/>
      <protection/>
    </xf>
    <xf numFmtId="0" fontId="5" fillId="0" borderId="0" xfId="0" applyFont="1" applyFill="1" applyBorder="1" applyAlignment="1" applyProtection="1">
      <alignment horizontal="left" vertical="center"/>
      <protection hidden="1"/>
    </xf>
    <xf numFmtId="0" fontId="6" fillId="0" borderId="0" xfId="0" applyFont="1" applyBorder="1" applyAlignment="1" applyProtection="1">
      <alignment/>
      <protection hidden="1"/>
    </xf>
    <xf numFmtId="1" fontId="6" fillId="0" borderId="0" xfId="0" applyNumberFormat="1" applyFont="1" applyFill="1" applyBorder="1" applyAlignment="1" applyProtection="1">
      <alignment horizontal="center"/>
      <protection hidden="1"/>
    </xf>
    <xf numFmtId="0" fontId="8" fillId="0" borderId="50" xfId="0" applyFont="1" applyFill="1" applyBorder="1" applyAlignment="1" applyProtection="1">
      <alignment horizontal="left"/>
      <protection hidden="1"/>
    </xf>
    <xf numFmtId="0" fontId="8" fillId="0" borderId="6" xfId="0" applyFont="1" applyBorder="1" applyAlignment="1">
      <alignment/>
    </xf>
    <xf numFmtId="0" fontId="8" fillId="0" borderId="4" xfId="0" applyFont="1" applyFill="1" applyBorder="1" applyAlignment="1">
      <alignment/>
    </xf>
    <xf numFmtId="0" fontId="6" fillId="0" borderId="51" xfId="0" applyFont="1" applyFill="1" applyBorder="1" applyAlignment="1" applyProtection="1">
      <alignment vertical="center"/>
      <protection hidden="1"/>
    </xf>
    <xf numFmtId="0" fontId="6" fillId="0" borderId="51" xfId="0" applyFont="1" applyFill="1" applyBorder="1" applyAlignment="1" applyProtection="1">
      <alignment horizontal="right" vertical="center"/>
      <protection hidden="1"/>
    </xf>
    <xf numFmtId="0" fontId="6" fillId="0" borderId="51" xfId="0" applyFont="1" applyFill="1" applyBorder="1" applyAlignment="1" applyProtection="1">
      <alignment horizontal="center" vertical="center"/>
      <protection hidden="1"/>
    </xf>
    <xf numFmtId="2" fontId="6" fillId="0" borderId="51" xfId="0" applyNumberFormat="1" applyFont="1" applyFill="1" applyBorder="1" applyAlignment="1" applyProtection="1">
      <alignment vertical="center"/>
      <protection hidden="1"/>
    </xf>
    <xf numFmtId="0" fontId="7" fillId="0" borderId="52" xfId="0" applyFont="1" applyFill="1" applyBorder="1" applyAlignment="1" applyProtection="1">
      <alignment vertical="center"/>
      <protection hidden="1"/>
    </xf>
    <xf numFmtId="0" fontId="7" fillId="0" borderId="52" xfId="0" applyFont="1" applyFill="1" applyBorder="1" applyAlignment="1" applyProtection="1">
      <alignment horizontal="right" vertical="center"/>
      <protection hidden="1"/>
    </xf>
    <xf numFmtId="0" fontId="7" fillId="0" borderId="52" xfId="0" applyFont="1" applyFill="1" applyBorder="1" applyAlignment="1" applyProtection="1">
      <alignment horizontal="center" vertical="center"/>
      <protection hidden="1"/>
    </xf>
    <xf numFmtId="2" fontId="7" fillId="0" borderId="52" xfId="0" applyNumberFormat="1" applyFont="1" applyFill="1" applyBorder="1" applyAlignment="1" applyProtection="1">
      <alignment vertical="center"/>
      <protection hidden="1"/>
    </xf>
    <xf numFmtId="0" fontId="6" fillId="2" borderId="53" xfId="0" applyFont="1" applyFill="1" applyBorder="1" applyAlignment="1" applyProtection="1">
      <alignment horizontal="centerContinuous" vertical="center" wrapText="1"/>
      <protection hidden="1"/>
    </xf>
    <xf numFmtId="0" fontId="6" fillId="2" borderId="53" xfId="0" applyFont="1" applyFill="1" applyBorder="1" applyAlignment="1" applyProtection="1">
      <alignment horizontal="centerContinuous" vertical="center"/>
      <protection hidden="1"/>
    </xf>
    <xf numFmtId="0" fontId="6" fillId="2" borderId="21" xfId="0" applyFont="1" applyFill="1" applyBorder="1" applyAlignment="1" applyProtection="1">
      <alignment horizontal="centerContinuous" vertical="center"/>
      <protection hidden="1"/>
    </xf>
    <xf numFmtId="1" fontId="6" fillId="2" borderId="53" xfId="0" applyNumberFormat="1" applyFont="1" applyFill="1" applyBorder="1" applyAlignment="1" applyProtection="1">
      <alignment horizontal="center" vertical="center"/>
      <protection hidden="1"/>
    </xf>
    <xf numFmtId="171" fontId="6" fillId="2" borderId="53" xfId="0" applyNumberFormat="1" applyFont="1" applyFill="1" applyBorder="1" applyAlignment="1" applyProtection="1">
      <alignment horizontal="centerContinuous" vertical="center"/>
      <protection hidden="1"/>
    </xf>
    <xf numFmtId="2" fontId="6" fillId="2" borderId="53" xfId="0" applyNumberFormat="1" applyFont="1" applyFill="1" applyBorder="1" applyAlignment="1" applyProtection="1">
      <alignment horizontal="centerContinuous" vertical="center"/>
      <protection hidden="1"/>
    </xf>
    <xf numFmtId="0" fontId="6" fillId="2" borderId="54" xfId="0" applyFont="1" applyFill="1" applyBorder="1" applyAlignment="1" applyProtection="1">
      <alignment horizontal="centerContinuous" vertical="center"/>
      <protection hidden="1"/>
    </xf>
    <xf numFmtId="1" fontId="6" fillId="2" borderId="51" xfId="0" applyNumberFormat="1" applyFont="1" applyFill="1" applyBorder="1" applyAlignment="1" applyProtection="1">
      <alignment horizontal="center" vertical="center"/>
      <protection hidden="1"/>
    </xf>
    <xf numFmtId="0" fontId="6" fillId="2" borderId="51" xfId="0" applyFont="1" applyFill="1" applyBorder="1" applyAlignment="1" applyProtection="1">
      <alignment horizontal="centerContinuous" vertical="center"/>
      <protection hidden="1"/>
    </xf>
    <xf numFmtId="0" fontId="6" fillId="2" borderId="55" xfId="0" applyFont="1" applyFill="1" applyBorder="1" applyAlignment="1" applyProtection="1">
      <alignment horizontal="centerContinuous" vertical="center"/>
      <protection hidden="1"/>
    </xf>
    <xf numFmtId="0" fontId="6" fillId="2" borderId="56" xfId="0" applyFont="1" applyFill="1" applyBorder="1" applyAlignment="1" applyProtection="1">
      <alignment horizontal="centerContinuous" vertical="center" wrapText="1"/>
      <protection hidden="1"/>
    </xf>
    <xf numFmtId="0" fontId="6" fillId="2" borderId="57" xfId="0" applyFont="1" applyFill="1" applyBorder="1" applyAlignment="1" applyProtection="1">
      <alignment horizontal="centerContinuous" vertical="center" wrapText="1"/>
      <protection hidden="1"/>
    </xf>
    <xf numFmtId="0" fontId="6" fillId="2" borderId="26" xfId="0" applyFont="1" applyFill="1" applyBorder="1" applyAlignment="1" applyProtection="1">
      <alignment horizontal="centerContinuous" vertical="center" wrapText="1"/>
      <protection hidden="1"/>
    </xf>
    <xf numFmtId="1" fontId="6" fillId="2" borderId="57" xfId="0" applyNumberFormat="1" applyFont="1" applyFill="1" applyBorder="1" applyAlignment="1" applyProtection="1">
      <alignment horizontal="center" vertical="center" wrapText="1"/>
      <protection hidden="1"/>
    </xf>
    <xf numFmtId="0" fontId="6" fillId="2" borderId="57" xfId="0" applyFont="1" applyFill="1" applyBorder="1" applyAlignment="1" applyProtection="1">
      <alignment horizontal="centerContinuous" vertical="center"/>
      <protection hidden="1"/>
    </xf>
    <xf numFmtId="171" fontId="6" fillId="2" borderId="57" xfId="0" applyNumberFormat="1" applyFont="1" applyFill="1" applyBorder="1" applyAlignment="1" applyProtection="1">
      <alignment horizontal="centerContinuous" vertical="center"/>
      <protection hidden="1"/>
    </xf>
    <xf numFmtId="2" fontId="6" fillId="2" borderId="57" xfId="0" applyNumberFormat="1" applyFont="1" applyFill="1" applyBorder="1" applyAlignment="1" applyProtection="1">
      <alignment horizontal="centerContinuous" vertical="center"/>
      <protection hidden="1"/>
    </xf>
    <xf numFmtId="0" fontId="6" fillId="2" borderId="58" xfId="0" applyFont="1" applyFill="1" applyBorder="1" applyAlignment="1" applyProtection="1">
      <alignment horizontal="centerContinuous" vertical="center"/>
      <protection hidden="1"/>
    </xf>
    <xf numFmtId="1" fontId="6" fillId="2" borderId="2" xfId="0" applyNumberFormat="1" applyFont="1" applyFill="1" applyBorder="1" applyAlignment="1" applyProtection="1">
      <alignment horizontal="center" vertical="center"/>
      <protection hidden="1"/>
    </xf>
    <xf numFmtId="0" fontId="6" fillId="2" borderId="2" xfId="0" applyFont="1" applyFill="1" applyBorder="1" applyAlignment="1" applyProtection="1">
      <alignment horizontal="centerContinuous" vertical="center"/>
      <protection hidden="1"/>
    </xf>
    <xf numFmtId="0" fontId="6" fillId="2" borderId="59" xfId="0" applyFont="1" applyFill="1" applyBorder="1" applyAlignment="1" applyProtection="1">
      <alignment horizontal="centerContinuous" vertical="center"/>
      <protection hidden="1"/>
    </xf>
    <xf numFmtId="0" fontId="7" fillId="2" borderId="60" xfId="0" applyFont="1" applyFill="1" applyBorder="1" applyAlignment="1" applyProtection="1">
      <alignment horizontal="centerContinuous" vertical="center" wrapText="1"/>
      <protection hidden="1"/>
    </xf>
    <xf numFmtId="0" fontId="7" fillId="2" borderId="61" xfId="0" applyFont="1" applyFill="1" applyBorder="1" applyAlignment="1" applyProtection="1">
      <alignment horizontal="centerContinuous" vertical="center" wrapText="1"/>
      <protection hidden="1"/>
    </xf>
    <xf numFmtId="1" fontId="7" fillId="2" borderId="61" xfId="0" applyNumberFormat="1"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Continuous" vertical="center"/>
      <protection hidden="1"/>
    </xf>
    <xf numFmtId="171" fontId="7" fillId="2" borderId="61" xfId="0" applyNumberFormat="1" applyFont="1" applyFill="1" applyBorder="1" applyAlignment="1" applyProtection="1">
      <alignment horizontal="centerContinuous" vertical="center"/>
      <protection hidden="1"/>
    </xf>
    <xf numFmtId="2" fontId="7" fillId="2" borderId="61" xfId="0" applyNumberFormat="1" applyFont="1" applyFill="1" applyBorder="1" applyAlignment="1" applyProtection="1">
      <alignment horizontal="centerContinuous" vertical="center"/>
      <protection hidden="1"/>
    </xf>
    <xf numFmtId="0" fontId="7" fillId="2" borderId="62" xfId="0" applyFont="1" applyFill="1" applyBorder="1" applyAlignment="1" applyProtection="1">
      <alignment horizontal="centerContinuous" vertical="center"/>
      <protection hidden="1"/>
    </xf>
    <xf numFmtId="1" fontId="7" fillId="2" borderId="52" xfId="0" applyNumberFormat="1" applyFont="1" applyFill="1" applyBorder="1" applyAlignment="1" applyProtection="1">
      <alignment horizontal="center" vertical="center"/>
      <protection hidden="1"/>
    </xf>
    <xf numFmtId="0" fontId="7" fillId="2" borderId="52" xfId="0" applyFont="1" applyFill="1" applyBorder="1" applyAlignment="1" applyProtection="1">
      <alignment horizontal="centerContinuous" vertical="center"/>
      <protection hidden="1"/>
    </xf>
    <xf numFmtId="0" fontId="7" fillId="2" borderId="63" xfId="0" applyFont="1" applyFill="1" applyBorder="1" applyAlignment="1" applyProtection="1">
      <alignment horizontal="centerContinuous" vertical="center"/>
      <protection hidden="1"/>
    </xf>
    <xf numFmtId="171" fontId="6" fillId="2" borderId="0" xfId="0" applyNumberFormat="1" applyFont="1" applyFill="1" applyBorder="1" applyAlignment="1" applyProtection="1">
      <alignment horizontal="center"/>
      <protection hidden="1"/>
    </xf>
    <xf numFmtId="2" fontId="6" fillId="0" borderId="6" xfId="0" applyNumberFormat="1" applyFont="1" applyBorder="1" applyAlignment="1">
      <alignment/>
    </xf>
    <xf numFmtId="2" fontId="6" fillId="0" borderId="0" xfId="0" applyNumberFormat="1" applyFont="1" applyAlignment="1">
      <alignment/>
    </xf>
    <xf numFmtId="2" fontId="6" fillId="0" borderId="15" xfId="0" applyNumberFormat="1" applyFont="1" applyFill="1" applyBorder="1" applyAlignment="1" applyProtection="1">
      <alignment horizontal="left"/>
      <protection hidden="1"/>
    </xf>
    <xf numFmtId="2" fontId="6" fillId="0" borderId="13" xfId="0" applyNumberFormat="1" applyFont="1" applyFill="1" applyBorder="1" applyAlignment="1" applyProtection="1">
      <alignment horizontal="centerContinuous"/>
      <protection hidden="1"/>
    </xf>
    <xf numFmtId="2" fontId="9" fillId="0" borderId="29" xfId="0" applyNumberFormat="1" applyFont="1" applyFill="1" applyBorder="1" applyAlignment="1" applyProtection="1">
      <alignment horizontal="center"/>
      <protection hidden="1"/>
    </xf>
    <xf numFmtId="2" fontId="6" fillId="0" borderId="46" xfId="0" applyNumberFormat="1" applyFont="1" applyFill="1" applyBorder="1" applyAlignment="1">
      <alignment/>
    </xf>
    <xf numFmtId="2" fontId="6" fillId="0" borderId="0" xfId="0" applyNumberFormat="1" applyFont="1" applyBorder="1" applyAlignment="1">
      <alignment/>
    </xf>
    <xf numFmtId="2" fontId="6" fillId="0" borderId="0" xfId="0" applyNumberFormat="1" applyFont="1" applyAlignment="1">
      <alignment horizontal="right"/>
    </xf>
    <xf numFmtId="0" fontId="6" fillId="2" borderId="0" xfId="0" applyFont="1" applyFill="1" applyBorder="1" applyAlignment="1" applyProtection="1">
      <alignment horizontal="center"/>
      <protection hidden="1"/>
    </xf>
    <xf numFmtId="2" fontId="6" fillId="2" borderId="0" xfId="0" applyNumberFormat="1" applyFont="1" applyFill="1" applyBorder="1" applyAlignment="1" applyProtection="1">
      <alignment/>
      <protection hidden="1"/>
    </xf>
    <xf numFmtId="2" fontId="6" fillId="0" borderId="0" xfId="0" applyNumberFormat="1" applyFont="1" applyFill="1" applyBorder="1" applyAlignment="1">
      <alignment/>
    </xf>
    <xf numFmtId="169" fontId="6" fillId="0" borderId="0" xfId="0" applyNumberFormat="1" applyFont="1" applyFill="1" applyBorder="1" applyAlignment="1" applyProtection="1">
      <alignment horizontal="center"/>
      <protection hidden="1"/>
    </xf>
    <xf numFmtId="0" fontId="9" fillId="0" borderId="36" xfId="0" applyFont="1" applyFill="1" applyBorder="1" applyAlignment="1" applyProtection="1">
      <alignment horizontal="center" vertical="top"/>
      <protection hidden="1"/>
    </xf>
    <xf numFmtId="0" fontId="6" fillId="0" borderId="6" xfId="0" applyFont="1" applyFill="1" applyBorder="1" applyAlignment="1" applyProtection="1">
      <alignment vertical="top"/>
      <protection hidden="1"/>
    </xf>
    <xf numFmtId="0" fontId="9" fillId="2" borderId="6" xfId="0" applyFont="1" applyFill="1" applyBorder="1" applyAlignment="1" applyProtection="1">
      <alignment vertical="top"/>
      <protection hidden="1"/>
    </xf>
    <xf numFmtId="0" fontId="9" fillId="0" borderId="37" xfId="0" applyFont="1" applyFill="1" applyBorder="1" applyAlignment="1" applyProtection="1">
      <alignment horizontal="center" vertical="top"/>
      <protection hidden="1"/>
    </xf>
    <xf numFmtId="0" fontId="9" fillId="0" borderId="38" xfId="0" applyFont="1" applyFill="1" applyBorder="1" applyAlignment="1" applyProtection="1">
      <alignment horizontal="center" vertical="top"/>
      <protection hidden="1"/>
    </xf>
    <xf numFmtId="0" fontId="9" fillId="0" borderId="6" xfId="0" applyFont="1" applyFill="1" applyBorder="1" applyAlignment="1" applyProtection="1">
      <alignment horizontal="center" vertical="top"/>
      <protection hidden="1"/>
    </xf>
    <xf numFmtId="0" fontId="9" fillId="2" borderId="39" xfId="0" applyFont="1" applyFill="1" applyBorder="1" applyAlignment="1" applyProtection="1">
      <alignment horizontal="center" vertical="top"/>
      <protection hidden="1"/>
    </xf>
    <xf numFmtId="0" fontId="9" fillId="2" borderId="2" xfId="0" applyFont="1" applyFill="1" applyBorder="1" applyAlignment="1" applyProtection="1">
      <alignment horizontal="center" vertical="top"/>
      <protection hidden="1"/>
    </xf>
    <xf numFmtId="0" fontId="6" fillId="2" borderId="39" xfId="0" applyFont="1" applyFill="1" applyBorder="1" applyAlignment="1" applyProtection="1">
      <alignment horizontal="center" vertical="top"/>
      <protection hidden="1"/>
    </xf>
    <xf numFmtId="0" fontId="6" fillId="2" borderId="46" xfId="0" applyFont="1" applyFill="1" applyBorder="1" applyAlignment="1" applyProtection="1">
      <alignment vertical="top"/>
      <protection hidden="1"/>
    </xf>
    <xf numFmtId="0" fontId="9" fillId="2" borderId="6" xfId="0" applyFont="1" applyFill="1" applyBorder="1" applyAlignment="1" applyProtection="1">
      <alignment horizontal="centerContinuous" vertical="top"/>
      <protection hidden="1"/>
    </xf>
    <xf numFmtId="1" fontId="9" fillId="2" borderId="37" xfId="0" applyNumberFormat="1" applyFont="1" applyFill="1" applyBorder="1" applyAlignment="1" applyProtection="1">
      <alignment horizontal="center" vertical="top"/>
      <protection hidden="1"/>
    </xf>
    <xf numFmtId="0" fontId="9" fillId="2" borderId="37" xfId="0" applyFont="1" applyFill="1" applyBorder="1" applyAlignment="1" applyProtection="1">
      <alignment horizontal="center" vertical="top"/>
      <protection hidden="1"/>
    </xf>
    <xf numFmtId="0" fontId="9" fillId="0" borderId="40" xfId="0" applyFont="1" applyFill="1" applyBorder="1" applyAlignment="1" applyProtection="1">
      <alignment horizontal="center" vertical="top"/>
      <protection hidden="1"/>
    </xf>
    <xf numFmtId="2" fontId="9" fillId="0" borderId="38" xfId="0" applyNumberFormat="1" applyFont="1" applyFill="1" applyBorder="1" applyAlignment="1" applyProtection="1">
      <alignment horizontal="center" vertical="top"/>
      <protection hidden="1"/>
    </xf>
    <xf numFmtId="0" fontId="9" fillId="2" borderId="41" xfId="0" applyFont="1" applyFill="1" applyBorder="1" applyAlignment="1" applyProtection="1">
      <alignment horizontal="center" vertical="top"/>
      <protection hidden="1"/>
    </xf>
    <xf numFmtId="0" fontId="9" fillId="2" borderId="0" xfId="0" applyFont="1" applyFill="1" applyBorder="1" applyAlignment="1" applyProtection="1">
      <alignment horizontal="center" vertical="top"/>
      <protection hidden="1"/>
    </xf>
    <xf numFmtId="171" fontId="9" fillId="2" borderId="0" xfId="0" applyNumberFormat="1" applyFont="1" applyFill="1" applyBorder="1" applyAlignment="1" applyProtection="1">
      <alignment horizontal="centerContinuous" vertical="top"/>
      <protection hidden="1"/>
    </xf>
    <xf numFmtId="2" fontId="9" fillId="0" borderId="40" xfId="0" applyNumberFormat="1" applyFont="1" applyFill="1" applyBorder="1" applyAlignment="1" applyProtection="1">
      <alignment horizontal="center" vertical="top"/>
      <protection hidden="1"/>
    </xf>
    <xf numFmtId="1" fontId="9" fillId="0" borderId="37" xfId="0" applyNumberFormat="1" applyFont="1" applyFill="1" applyBorder="1" applyAlignment="1" applyProtection="1">
      <alignment horizontal="center" vertical="top"/>
      <protection hidden="1"/>
    </xf>
    <xf numFmtId="0" fontId="6" fillId="0" borderId="32" xfId="0" applyFont="1" applyBorder="1" applyAlignment="1">
      <alignment/>
    </xf>
    <xf numFmtId="0" fontId="6" fillId="0" borderId="10" xfId="0" applyFont="1" applyBorder="1" applyAlignment="1">
      <alignment/>
    </xf>
    <xf numFmtId="0" fontId="6" fillId="0" borderId="5" xfId="0" applyFont="1" applyBorder="1" applyAlignment="1" applyProtection="1">
      <alignment horizontal="center"/>
      <protection/>
    </xf>
    <xf numFmtId="0" fontId="6" fillId="0" borderId="42" xfId="0" applyFont="1" applyBorder="1" applyAlignment="1" applyProtection="1">
      <alignment horizontal="center"/>
      <protection/>
    </xf>
    <xf numFmtId="0" fontId="6" fillId="5" borderId="0" xfId="0" applyFont="1" applyFill="1" applyAlignment="1">
      <alignment/>
    </xf>
    <xf numFmtId="0" fontId="9" fillId="5" borderId="31" xfId="0" applyFont="1" applyFill="1" applyBorder="1" applyAlignment="1" applyProtection="1">
      <alignment horizontal="center"/>
      <protection hidden="1"/>
    </xf>
    <xf numFmtId="0" fontId="9" fillId="5" borderId="40" xfId="0" applyFont="1" applyFill="1" applyBorder="1" applyAlignment="1" applyProtection="1">
      <alignment horizontal="center" vertical="top"/>
      <protection hidden="1"/>
    </xf>
    <xf numFmtId="0" fontId="6" fillId="2" borderId="53"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wrapText="1"/>
      <protection hidden="1"/>
    </xf>
    <xf numFmtId="0" fontId="6" fillId="0" borderId="6" xfId="0" applyFont="1" applyBorder="1" applyAlignment="1">
      <alignment horizontal="center"/>
    </xf>
    <xf numFmtId="0" fontId="6" fillId="0" borderId="0" xfId="0" applyFont="1" applyAlignment="1">
      <alignment horizontal="center"/>
    </xf>
    <xf numFmtId="1" fontId="9" fillId="0" borderId="0" xfId="0" applyNumberFormat="1" applyFont="1" applyBorder="1" applyAlignment="1" applyProtection="1">
      <alignment horizontal="center"/>
      <protection hidden="1"/>
    </xf>
    <xf numFmtId="0" fontId="6" fillId="0" borderId="26" xfId="0" applyFont="1" applyFill="1" applyBorder="1" applyAlignment="1" applyProtection="1">
      <alignment horizontal="center"/>
      <protection hidden="1"/>
    </xf>
    <xf numFmtId="0" fontId="8" fillId="0" borderId="0" xfId="0" applyFont="1" applyFill="1" applyAlignment="1" applyProtection="1">
      <alignment horizontal="center"/>
      <protection hidden="1"/>
    </xf>
    <xf numFmtId="175" fontId="6" fillId="2" borderId="54" xfId="0" applyNumberFormat="1" applyFont="1" applyFill="1" applyBorder="1" applyAlignment="1" applyProtection="1">
      <alignment horizontal="centerContinuous" vertical="center"/>
      <protection hidden="1"/>
    </xf>
    <xf numFmtId="175" fontId="6" fillId="2" borderId="58" xfId="0" applyNumberFormat="1" applyFont="1" applyFill="1" applyBorder="1" applyAlignment="1" applyProtection="1">
      <alignment horizontal="centerContinuous" vertical="center"/>
      <protection hidden="1"/>
    </xf>
    <xf numFmtId="175" fontId="7" fillId="2" borderId="62" xfId="0" applyNumberFormat="1" applyFont="1" applyFill="1" applyBorder="1" applyAlignment="1" applyProtection="1">
      <alignment horizontal="centerContinuous" vertical="center"/>
      <protection hidden="1"/>
    </xf>
    <xf numFmtId="175" fontId="9" fillId="0" borderId="8" xfId="0" applyNumberFormat="1" applyFont="1" applyFill="1" applyBorder="1" applyAlignment="1" applyProtection="1">
      <alignment/>
      <protection hidden="1"/>
    </xf>
    <xf numFmtId="175" fontId="9" fillId="0" borderId="0" xfId="0" applyNumberFormat="1" applyFont="1" applyFill="1" applyBorder="1" applyAlignment="1" applyProtection="1">
      <alignment/>
      <protection hidden="1"/>
    </xf>
    <xf numFmtId="175" fontId="9" fillId="3" borderId="2" xfId="0" applyNumberFormat="1" applyFont="1" applyFill="1" applyBorder="1" applyAlignment="1" applyProtection="1">
      <alignment horizontal="right"/>
      <protection hidden="1"/>
    </xf>
    <xf numFmtId="175" fontId="9" fillId="0" borderId="0" xfId="0" applyNumberFormat="1" applyFont="1" applyFill="1" applyBorder="1" applyAlignment="1" applyProtection="1">
      <alignment horizontal="right"/>
      <protection hidden="1"/>
    </xf>
    <xf numFmtId="175" fontId="6" fillId="0" borderId="20" xfId="0" applyNumberFormat="1" applyFont="1" applyFill="1" applyBorder="1" applyAlignment="1" applyProtection="1">
      <alignment horizontal="left"/>
      <protection hidden="1"/>
    </xf>
    <xf numFmtId="175" fontId="9" fillId="0" borderId="14" xfId="0" applyNumberFormat="1" applyFont="1" applyFill="1" applyBorder="1" applyAlignment="1" applyProtection="1">
      <alignment horizontal="right"/>
      <protection hidden="1"/>
    </xf>
    <xf numFmtId="175" fontId="10" fillId="0" borderId="26" xfId="0" applyNumberFormat="1" applyFont="1" applyFill="1" applyBorder="1" applyAlignment="1" applyProtection="1">
      <alignment horizontal="center"/>
      <protection hidden="1"/>
    </xf>
    <xf numFmtId="175" fontId="9" fillId="0" borderId="40" xfId="0" applyNumberFormat="1" applyFont="1" applyFill="1" applyBorder="1" applyAlignment="1" applyProtection="1">
      <alignment horizontal="center" vertical="top"/>
      <protection hidden="1"/>
    </xf>
    <xf numFmtId="175" fontId="8" fillId="0" borderId="26" xfId="0" applyNumberFormat="1" applyFont="1" applyFill="1" applyBorder="1" applyAlignment="1" applyProtection="1">
      <alignment/>
      <protection hidden="1"/>
    </xf>
    <xf numFmtId="175" fontId="8" fillId="0" borderId="0" xfId="0" applyNumberFormat="1" applyFont="1" applyFill="1" applyBorder="1" applyAlignment="1" applyProtection="1">
      <alignment/>
      <protection hidden="1"/>
    </xf>
    <xf numFmtId="175" fontId="6" fillId="0" borderId="0" xfId="0" applyNumberFormat="1" applyFont="1" applyFill="1" applyAlignment="1" applyProtection="1">
      <alignment/>
      <protection hidden="1"/>
    </xf>
    <xf numFmtId="0" fontId="6" fillId="2" borderId="57" xfId="0" applyFont="1" applyFill="1" applyBorder="1" applyAlignment="1" applyProtection="1">
      <alignment horizontal="center" vertical="center"/>
      <protection hidden="1"/>
    </xf>
    <xf numFmtId="0" fontId="7" fillId="2" borderId="61"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protection hidden="1"/>
    </xf>
    <xf numFmtId="0" fontId="9" fillId="0" borderId="14" xfId="0" applyFont="1" applyFill="1" applyBorder="1" applyAlignment="1" applyProtection="1">
      <alignment horizontal="center"/>
      <protection hidden="1"/>
    </xf>
    <xf numFmtId="2" fontId="6" fillId="0" borderId="0" xfId="0" applyNumberFormat="1" applyFont="1" applyFill="1" applyAlignment="1" applyProtection="1">
      <alignment horizontal="center"/>
      <protection hidden="1"/>
    </xf>
    <xf numFmtId="0" fontId="6" fillId="0" borderId="0" xfId="0" applyFont="1" applyFill="1" applyBorder="1" applyAlignment="1">
      <alignment horizontal="center"/>
    </xf>
    <xf numFmtId="2" fontId="6" fillId="2" borderId="53" xfId="0" applyNumberFormat="1" applyFont="1" applyFill="1" applyBorder="1" applyAlignment="1" applyProtection="1">
      <alignment horizontal="center" vertical="center"/>
      <protection hidden="1"/>
    </xf>
    <xf numFmtId="2" fontId="6" fillId="2" borderId="57" xfId="0" applyNumberFormat="1" applyFont="1" applyFill="1" applyBorder="1" applyAlignment="1" applyProtection="1">
      <alignment horizontal="center" vertical="center"/>
      <protection hidden="1"/>
    </xf>
    <xf numFmtId="2" fontId="7" fillId="2" borderId="61" xfId="0" applyNumberFormat="1" applyFont="1" applyFill="1" applyBorder="1" applyAlignment="1" applyProtection="1">
      <alignment horizontal="center" vertical="center"/>
      <protection hidden="1"/>
    </xf>
    <xf numFmtId="2" fontId="9" fillId="0" borderId="7" xfId="0" applyNumberFormat="1" applyFont="1" applyFill="1" applyBorder="1" applyAlignment="1" applyProtection="1">
      <alignment horizontal="center"/>
      <protection hidden="1"/>
    </xf>
    <xf numFmtId="2" fontId="9" fillId="0" borderId="5" xfId="0" applyNumberFormat="1" applyFont="1" applyFill="1" applyBorder="1" applyAlignment="1" applyProtection="1">
      <alignment horizontal="center"/>
      <protection hidden="1"/>
    </xf>
    <xf numFmtId="2" fontId="9" fillId="3" borderId="11" xfId="0" applyNumberFormat="1" applyFont="1" applyFill="1" applyBorder="1" applyAlignment="1" applyProtection="1">
      <alignment horizontal="center"/>
      <protection hidden="1"/>
    </xf>
    <xf numFmtId="2" fontId="9" fillId="0" borderId="0" xfId="0" applyNumberFormat="1" applyFont="1" applyFill="1" applyBorder="1" applyAlignment="1" applyProtection="1">
      <alignment horizontal="center"/>
      <protection hidden="1"/>
    </xf>
    <xf numFmtId="2" fontId="6" fillId="0" borderId="19" xfId="0" applyNumberFormat="1" applyFont="1" applyFill="1" applyBorder="1" applyAlignment="1" applyProtection="1">
      <alignment horizontal="center"/>
      <protection hidden="1"/>
    </xf>
    <xf numFmtId="2" fontId="9" fillId="0" borderId="14" xfId="0" applyNumberFormat="1" applyFont="1" applyFill="1" applyBorder="1" applyAlignment="1" applyProtection="1">
      <alignment horizontal="center"/>
      <protection hidden="1"/>
    </xf>
    <xf numFmtId="2" fontId="8" fillId="0" borderId="26" xfId="0" applyNumberFormat="1" applyFont="1" applyFill="1" applyBorder="1" applyAlignment="1" applyProtection="1">
      <alignment horizontal="center"/>
      <protection hidden="1"/>
    </xf>
    <xf numFmtId="2" fontId="8" fillId="0" borderId="0" xfId="0" applyNumberFormat="1" applyFont="1" applyFill="1" applyBorder="1" applyAlignment="1" applyProtection="1">
      <alignment horizontal="center"/>
      <protection hidden="1"/>
    </xf>
    <xf numFmtId="0" fontId="6" fillId="0" borderId="5" xfId="0" applyFont="1" applyBorder="1" applyAlignment="1">
      <alignment/>
    </xf>
    <xf numFmtId="0" fontId="6" fillId="0" borderId="5" xfId="0" applyFont="1" applyFill="1" applyBorder="1" applyAlignment="1">
      <alignment/>
    </xf>
    <xf numFmtId="0" fontId="8" fillId="0" borderId="64" xfId="0" applyFont="1" applyFill="1" applyBorder="1" applyAlignment="1" applyProtection="1">
      <alignment horizontal="center"/>
      <protection hidden="1"/>
    </xf>
    <xf numFmtId="0" fontId="8" fillId="0" borderId="65" xfId="0" applyFont="1" applyFill="1" applyBorder="1" applyAlignment="1" applyProtection="1">
      <alignment horizontal="center"/>
      <protection hidden="1"/>
    </xf>
    <xf numFmtId="0" fontId="8" fillId="0" borderId="66" xfId="0" applyFont="1" applyFill="1" applyBorder="1" applyAlignment="1" applyProtection="1">
      <alignment horizontal="center"/>
      <protection hidden="1"/>
    </xf>
    <xf numFmtId="0" fontId="11" fillId="0" borderId="52" xfId="0" applyFont="1" applyFill="1" applyBorder="1" applyAlignment="1" applyProtection="1">
      <alignment horizontal="center" vertical="center"/>
      <protection hidden="1"/>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'8''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535"/>
          <c:y val="0.144"/>
          <c:w val="0.93725"/>
          <c:h val="0.79925"/>
        </c:manualLayout>
      </c:layout>
      <c:lineChart>
        <c:grouping val="standard"/>
        <c:varyColors val="0"/>
        <c:ser>
          <c:idx val="0"/>
          <c:order val="0"/>
          <c:tx>
            <c:strRef>
              <c:f>'8'' STR_CALC'!$J$15</c:f>
              <c:strCache>
                <c:ptCount val="1"/>
                <c:pt idx="0">
                  <c:v>Log string length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Ref>
              <c:f>'8''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c:v>
                </c:pt>
              </c:strCache>
            </c:strRef>
          </c:cat>
          <c:val>
            <c:numRef>
              <c:f>'8'' STR_CALC'!$J$18:$J$85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ser>
          <c:idx val="1"/>
          <c:order val="1"/>
          <c:tx>
            <c:strRef>
              <c:f>'8'' STR_CALC'!$K$15</c:f>
              <c:strCache>
                <c:ptCount val="1"/>
                <c:pt idx="0">
                  <c:v>Just scale, based on 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cat>
            <c:numRef>
              <c:f>'8''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'8'' STR_CALC'!$K$18:$K$85</c:f>
              <c:numCache>
                <c:ptCount val="68"/>
                <c:pt idx="0">
                  <c:v>0</c:v>
                </c:pt>
                <c:pt idx="24">
                  <c:v>0</c:v>
                </c:pt>
                <c:pt idx="36">
                  <c:v>0</c:v>
                </c:pt>
                <c:pt idx="48">
                  <c:v>0</c:v>
                </c:pt>
                <c:pt idx="60">
                  <c:v>0</c:v>
                </c:pt>
              </c:numCache>
            </c:numRef>
          </c:val>
          <c:smooth val="0"/>
        </c:ser>
        <c:marker val="1"/>
        <c:axId val="25100738"/>
        <c:axId val="24580051"/>
      </c:lineChart>
      <c:catAx>
        <c:axId val="25100738"/>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4580051"/>
        <c:crossesAt val="1.6"/>
        <c:auto val="0"/>
        <c:lblOffset val="100"/>
        <c:tickLblSkip val="12"/>
        <c:noMultiLvlLbl val="0"/>
      </c:catAx>
      <c:valAx>
        <c:axId val="24580051"/>
        <c:scaling>
          <c:orientation val="minMax"/>
          <c:max val="3.6"/>
          <c:min val="1.6"/>
        </c:scaling>
        <c:axPos val="l"/>
        <c:title>
          <c:tx>
            <c:rich>
              <a:bodyPr vert="horz" rot="0" anchor="ctr"/>
              <a:lstStyle/>
              <a:p>
                <a:pPr algn="ctr">
                  <a:defRPr/>
                </a:pPr>
                <a:r>
                  <a:rPr lang="en-US" cap="none" sz="1000" b="1" i="0" u="none" baseline="0">
                    <a:solidFill>
                      <a:srgbClr val="000000"/>
                    </a:solidFill>
                  </a:rPr>
                  <a:t>Log L</a:t>
                </a:r>
              </a:p>
            </c:rich>
          </c:tx>
          <c:layout>
            <c:manualLayout>
              <c:xMode val="factor"/>
              <c:yMode val="factor"/>
              <c:x val="-0.0007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5100738"/>
        <c:crossesAt val="1"/>
        <c:crossBetween val="midCat"/>
        <c:dispUnits/>
        <c:majorUnit val="0.2"/>
        <c:minorUnit val="0.1"/>
      </c:valAx>
      <c:spPr>
        <a:noFill/>
        <a:ln>
          <a:noFill/>
        </a:ln>
      </c:spPr>
    </c:plotArea>
    <c:legend>
      <c:legendPos val="r"/>
      <c:layout>
        <c:manualLayout>
          <c:xMode val="edge"/>
          <c:yMode val="edge"/>
          <c:x val="0.77225"/>
          <c:y val="0.28025"/>
          <c:w val="0.1085"/>
          <c:h val="0.05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'8''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37"/>
          <c:y val="0.1735"/>
          <c:w val="0.95375"/>
          <c:h val="0.76975"/>
        </c:manualLayout>
      </c:layout>
      <c:barChart>
        <c:barDir val="col"/>
        <c:grouping val="clustered"/>
        <c:varyColors val="0"/>
        <c:ser>
          <c:idx val="1"/>
          <c:order val="0"/>
          <c:tx>
            <c:strRef>
              <c:f>'8'' STR_CALC'!$AM$14</c:f>
              <c:strCache>
                <c:ptCount val="1"/>
                <c:pt idx="0">
                  <c:v>String material</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c:v>
                </c:pt>
              </c:strCache>
            </c:strRef>
          </c:cat>
          <c:val>
            <c:numRef>
              <c:f>'8'' STR_CALC'!$G$18:$G$85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er>
        <c:ser>
          <c:idx val="2"/>
          <c:order val="1"/>
          <c:tx>
            <c:strRef>
              <c:f>'8'' STR_CALC'!$AM$15</c:f>
              <c:strCache>
                <c:ptCount val="1"/>
                <c:pt idx="0">
                  <c:v>Rec. max. tension</c:v>
                </c:pt>
              </c:strCache>
            </c:strRef>
          </c:tx>
          <c:spPr>
            <a:pattFill prst="divot">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'8''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'8'' STR_CALC'!$O$18:$O$85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er>
        <c:gapWidth val="50"/>
        <c:axId val="19893868"/>
        <c:axId val="44827085"/>
      </c:barChart>
      <c:lineChart>
        <c:grouping val="standard"/>
        <c:varyColors val="0"/>
        <c:ser>
          <c:idx val="0"/>
          <c:order val="2"/>
          <c:tx>
            <c:strRef>
              <c:f>'8'' STR_CALC'!$AM$16</c:f>
              <c:strCache>
                <c:ptCount val="1"/>
                <c:pt idx="0">
                  <c:v>Calculated tension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0C0C0"/>
              </a:solidFill>
              <a:ln>
                <a:solidFill>
                  <a:srgbClr val="000000"/>
                </a:solidFill>
              </a:ln>
            </c:spPr>
          </c:marker>
          <c:val>
            <c:numRef>
              <c:f>'8'' STR_CALC'!$L$18:$L$85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mooth val="0"/>
        </c:ser>
        <c:axId val="790582"/>
        <c:axId val="7115239"/>
      </c:lineChart>
      <c:catAx>
        <c:axId val="19893868"/>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4827085"/>
        <c:crossesAt val="0"/>
        <c:auto val="0"/>
        <c:lblOffset val="100"/>
        <c:tickLblSkip val="12"/>
        <c:noMultiLvlLbl val="0"/>
      </c:catAx>
      <c:valAx>
        <c:axId val="44827085"/>
        <c:scaling>
          <c:orientation val="minMax"/>
          <c:max val="16"/>
          <c:min val="0"/>
        </c:scaling>
        <c:axPos val="l"/>
        <c:title>
          <c:tx>
            <c:rich>
              <a:bodyPr vert="horz" rot="0" anchor="ctr"/>
              <a:lstStyle/>
              <a:p>
                <a:pPr algn="ctr">
                  <a:defRPr/>
                </a:pPr>
                <a:r>
                  <a:rPr lang="en-US" cap="none" sz="1000" b="1" i="0" u="none" baseline="0">
                    <a:solidFill>
                      <a:srgbClr val="000000"/>
                    </a:solidFill>
                  </a:rPr>
                  <a:t>Kgf </a:t>
                </a:r>
              </a:p>
            </c:rich>
          </c:tx>
          <c:layout>
            <c:manualLayout>
              <c:xMode val="factor"/>
              <c:yMode val="factor"/>
              <c:x val="-0.000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19893868"/>
        <c:crossesAt val="1"/>
        <c:crossBetween val="between"/>
        <c:dispUnits/>
        <c:majorUnit val="2"/>
        <c:minorUnit val="1"/>
      </c:valAx>
      <c:catAx>
        <c:axId val="790582"/>
        <c:scaling>
          <c:orientation val="minMax"/>
        </c:scaling>
        <c:axPos val="b"/>
        <c:title>
          <c:tx>
            <c:rich>
              <a:bodyPr vert="horz" rot="0" anchor="ctr"/>
              <a:lstStyle/>
              <a:p>
                <a:pPr algn="ctr">
                  <a:defRPr/>
                </a:pPr>
                <a:r>
                  <a:rPr lang="en-US" cap="none" sz="1000" b="0" i="0" u="none" baseline="0">
                    <a:solidFill>
                      <a:srgbClr val="000000"/>
                    </a:solidFill>
                  </a:rPr>
                  <a:t>Standard Note Number</a:t>
                </a:r>
              </a:p>
            </c:rich>
          </c:tx>
          <c:layout>
            <c:manualLayout>
              <c:xMode val="factor"/>
              <c:yMode val="factor"/>
              <c:x val="-0.00075"/>
              <c:y val="0.0995"/>
            </c:manualLayout>
          </c:layout>
          <c:overlay val="0"/>
          <c:spPr>
            <a:noFill/>
            <a:ln>
              <a:noFill/>
            </a:ln>
          </c:spPr>
        </c:title>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7115239"/>
        <c:crossesAt val="16"/>
        <c:auto val="0"/>
        <c:lblOffset val="100"/>
        <c:tickLblSkip val="1"/>
        <c:noMultiLvlLbl val="0"/>
      </c:catAx>
      <c:valAx>
        <c:axId val="7115239"/>
        <c:scaling>
          <c:orientation val="minMax"/>
          <c:max val="16"/>
          <c:min val="0"/>
        </c:scaling>
        <c:axPos val="l"/>
        <c:delete val="0"/>
        <c:numFmt formatCode="General" sourceLinked="1"/>
        <c:majorTickMark val="none"/>
        <c:minorTickMark val="none"/>
        <c:tickLblPos val="none"/>
        <c:spPr>
          <a:ln w="3175">
            <a:solidFill>
              <a:srgbClr val="000000"/>
            </a:solidFill>
          </a:ln>
        </c:spPr>
        <c:crossAx val="790582"/>
        <c:crossesAt val="1"/>
        <c:crossBetween val="between"/>
        <c:dispUnits/>
        <c:majorUnit val="2"/>
        <c:minorUnit val="1"/>
      </c:valAx>
      <c:spPr>
        <a:noFill/>
        <a:ln>
          <a:noFill/>
        </a:ln>
      </c:spPr>
    </c:plotArea>
    <c:legend>
      <c:legendPos val="r"/>
      <c:layout>
        <c:manualLayout>
          <c:xMode val="edge"/>
          <c:yMode val="edge"/>
          <c:x val="0.85525"/>
          <c:y val="0.43075"/>
          <c:w val="0.123"/>
          <c:h val="0.10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'8''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37"/>
          <c:y val="0.1735"/>
          <c:w val="0.95375"/>
          <c:h val="0.76975"/>
        </c:manualLayout>
      </c:layout>
      <c:barChart>
        <c:barDir val="col"/>
        <c:grouping val="clustered"/>
        <c:varyColors val="0"/>
        <c:ser>
          <c:idx val="1"/>
          <c:order val="0"/>
          <c:tx>
            <c:strRef>
              <c:f>'8'' STR_CALC'!$AM$14</c:f>
              <c:strCache>
                <c:ptCount val="1"/>
                <c:pt idx="0">
                  <c:v>String material</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c:v>
                </c:pt>
              </c:strCache>
            </c:strRef>
          </c:cat>
          <c:val>
            <c:numRef>
              <c:f>'8'' STR_CALC'!$R$18:$R$85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er>
        <c:ser>
          <c:idx val="2"/>
          <c:order val="1"/>
          <c:tx>
            <c:strRef>
              <c:f>'8'' STR_CALC'!$AM$15</c:f>
              <c:strCache>
                <c:ptCount val="1"/>
                <c:pt idx="0">
                  <c:v>Rec. max. tension</c:v>
                </c:pt>
              </c:strCache>
            </c:strRef>
          </c:tx>
          <c:spPr>
            <a:pattFill prst="divot">
              <a:fgClr>
                <a:srgbClr val="333333"/>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c:v>
                </c:pt>
              </c:strCache>
            </c:strRef>
          </c:cat>
          <c:val>
            <c:numRef>
              <c:f>'8'' STR_CALC'!$Z$18:$Z$85</c:f>
              <c:numCache>
                <c:ptCount val="68"/>
                <c:pt idx="0">
                  <c:v>0</c:v>
                </c:pt>
                <c:pt idx="1">
                  <c:v>0</c:v>
                </c:pt>
                <c:pt idx="2">
                  <c:v>0</c:v>
                </c:pt>
                <c:pt idx="3">
                  <c:v>0</c:v>
                </c:pt>
                <c:pt idx="4">
                  <c:v>0</c:v>
                </c:pt>
                <c:pt idx="5">
                  <c:v>0</c:v>
                </c:pt>
                <c:pt idx="6">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er>
        <c:gapWidth val="50"/>
        <c:axId val="64037152"/>
        <c:axId val="39463457"/>
      </c:barChart>
      <c:lineChart>
        <c:grouping val="standard"/>
        <c:varyColors val="0"/>
        <c:ser>
          <c:idx val="0"/>
          <c:order val="2"/>
          <c:tx>
            <c:strRef>
              <c:f>'8'' STR_CALC'!$AM$16</c:f>
              <c:strCache>
                <c:ptCount val="1"/>
                <c:pt idx="0">
                  <c:v>Calculated tension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0C0C0"/>
              </a:solidFill>
              <a:ln>
                <a:solidFill>
                  <a:srgbClr val="000000"/>
                </a:solidFill>
              </a:ln>
            </c:spPr>
          </c:marker>
          <c:cat>
            <c:numRef>
              <c:f>'8''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'8'' STR_CALC'!$W$18:$W$85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axId val="19626794"/>
        <c:axId val="42423419"/>
      </c:lineChart>
      <c:catAx>
        <c:axId val="64037152"/>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39463457"/>
        <c:crossesAt val="0"/>
        <c:auto val="0"/>
        <c:lblOffset val="100"/>
        <c:tickLblSkip val="12"/>
        <c:noMultiLvlLbl val="0"/>
      </c:catAx>
      <c:valAx>
        <c:axId val="39463457"/>
        <c:scaling>
          <c:orientation val="minMax"/>
          <c:max val="16"/>
          <c:min val="0"/>
        </c:scaling>
        <c:axPos val="l"/>
        <c:title>
          <c:tx>
            <c:rich>
              <a:bodyPr vert="horz" rot="0" anchor="ctr"/>
              <a:lstStyle/>
              <a:p>
                <a:pPr algn="ctr">
                  <a:defRPr/>
                </a:pPr>
                <a:r>
                  <a:rPr lang="en-US" cap="none" sz="1000" b="1" i="0" u="none" baseline="0">
                    <a:solidFill>
                      <a:srgbClr val="000000"/>
                    </a:solidFill>
                  </a:rPr>
                  <a:t>Kgf </a:t>
                </a:r>
              </a:p>
            </c:rich>
          </c:tx>
          <c:layout>
            <c:manualLayout>
              <c:xMode val="factor"/>
              <c:yMode val="factor"/>
              <c:x val="-0.000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64037152"/>
        <c:crossesAt val="1"/>
        <c:crossBetween val="between"/>
        <c:dispUnits/>
        <c:majorUnit val="2"/>
        <c:minorUnit val="1"/>
      </c:valAx>
      <c:catAx>
        <c:axId val="19626794"/>
        <c:scaling>
          <c:orientation val="minMax"/>
        </c:scaling>
        <c:axPos val="b"/>
        <c:title>
          <c:tx>
            <c:rich>
              <a:bodyPr vert="horz" rot="0" anchor="ctr"/>
              <a:lstStyle/>
              <a:p>
                <a:pPr algn="ctr">
                  <a:defRPr/>
                </a:pPr>
                <a:r>
                  <a:rPr lang="en-US" cap="none" sz="1000" b="0" i="0" u="none" baseline="0">
                    <a:solidFill>
                      <a:srgbClr val="000000"/>
                    </a:solidFill>
                  </a:rPr>
                  <a:t>Standard Note Number</a:t>
                </a:r>
              </a:p>
            </c:rich>
          </c:tx>
          <c:layout>
            <c:manualLayout>
              <c:xMode val="factor"/>
              <c:yMode val="factor"/>
              <c:x val="-0.00075"/>
              <c:y val="0.0995"/>
            </c:manualLayout>
          </c:layout>
          <c:overlay val="0"/>
          <c:spPr>
            <a:noFill/>
            <a:ln>
              <a:noFill/>
            </a:ln>
          </c:spPr>
        </c:title>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42423419"/>
        <c:crossesAt val="16"/>
        <c:auto val="0"/>
        <c:lblOffset val="100"/>
        <c:tickLblSkip val="1"/>
        <c:noMultiLvlLbl val="0"/>
      </c:catAx>
      <c:valAx>
        <c:axId val="42423419"/>
        <c:scaling>
          <c:orientation val="minMax"/>
          <c:max val="16"/>
          <c:min val="0"/>
        </c:scaling>
        <c:axPos val="l"/>
        <c:delete val="0"/>
        <c:numFmt formatCode="General" sourceLinked="1"/>
        <c:majorTickMark val="none"/>
        <c:minorTickMark val="none"/>
        <c:tickLblPos val="none"/>
        <c:spPr>
          <a:ln w="3175">
            <a:solidFill>
              <a:srgbClr val="000000"/>
            </a:solidFill>
          </a:ln>
        </c:spPr>
        <c:crossAx val="19626794"/>
        <c:crossesAt val="1"/>
        <c:crossBetween val="between"/>
        <c:dispUnits/>
        <c:majorUnit val="2"/>
        <c:minorUnit val="1"/>
      </c:valAx>
      <c:spPr>
        <a:noFill/>
        <a:ln>
          <a:noFill/>
        </a:ln>
      </c:spPr>
    </c:plotArea>
    <c:legend>
      <c:legendPos val="r"/>
      <c:layout>
        <c:manualLayout>
          <c:xMode val="edge"/>
          <c:yMode val="edge"/>
          <c:x val="0.82275"/>
          <c:y val="0.36"/>
          <c:w val="0.0905"/>
          <c:h val="0.07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'4''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535"/>
          <c:y val="0.144"/>
          <c:w val="0.93725"/>
          <c:h val="0.79925"/>
        </c:manualLayout>
      </c:layout>
      <c:lineChart>
        <c:grouping val="standard"/>
        <c:varyColors val="0"/>
        <c:ser>
          <c:idx val="0"/>
          <c:order val="0"/>
          <c:tx>
            <c:strRef>
              <c:f>'4'' STR_CALC'!$J$15</c:f>
              <c:strCache>
                <c:ptCount val="1"/>
                <c:pt idx="0">
                  <c:v>Log string length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Ref>
              <c:f>'4''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 ?</c:v>
                </c:pt>
              </c:strCache>
            </c:strRef>
          </c:cat>
          <c:val>
            <c:numRef>
              <c:f>'4'' STR_CALC'!$J$18:$J$85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ser>
          <c:idx val="1"/>
          <c:order val="1"/>
          <c:tx>
            <c:strRef>
              <c:f>'4'' STR_CALC'!$K$15</c:f>
              <c:strCache>
                <c:ptCount val="1"/>
                <c:pt idx="0">
                  <c:v>Just scale, based on 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cat>
            <c:strRef>
              <c:f>'4''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 ?</c:v>
                </c:pt>
              </c:strCache>
            </c:strRef>
          </c:cat>
          <c:val>
            <c:numRef>
              <c:f>'4'' STR_CALC'!$K$18:$K$85</c:f>
              <c:numCache>
                <c:ptCount val="68"/>
                <c:pt idx="0">
                  <c:v>0</c:v>
                </c:pt>
                <c:pt idx="12">
                  <c:v>0</c:v>
                </c:pt>
                <c:pt idx="24">
                  <c:v>0</c:v>
                </c:pt>
                <c:pt idx="36">
                  <c:v>0</c:v>
                </c:pt>
                <c:pt idx="48">
                  <c:v>0</c:v>
                </c:pt>
                <c:pt idx="60">
                  <c:v>0</c:v>
                </c:pt>
              </c:numCache>
            </c:numRef>
          </c:val>
          <c:smooth val="0"/>
        </c:ser>
        <c:marker val="1"/>
        <c:axId val="46266452"/>
        <c:axId val="13744885"/>
      </c:lineChart>
      <c:catAx>
        <c:axId val="46266452"/>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13744885"/>
        <c:crossesAt val="1.6"/>
        <c:auto val="0"/>
        <c:lblOffset val="100"/>
        <c:tickLblSkip val="12"/>
        <c:noMultiLvlLbl val="0"/>
      </c:catAx>
      <c:valAx>
        <c:axId val="13744885"/>
        <c:scaling>
          <c:orientation val="minMax"/>
          <c:max val="3.6"/>
          <c:min val="1.6"/>
        </c:scaling>
        <c:axPos val="l"/>
        <c:title>
          <c:tx>
            <c:rich>
              <a:bodyPr vert="horz" rot="0" anchor="ctr"/>
              <a:lstStyle/>
              <a:p>
                <a:pPr algn="ctr">
                  <a:defRPr/>
                </a:pPr>
                <a:r>
                  <a:rPr lang="en-US" cap="none" sz="1000" b="1" i="0" u="none" baseline="0">
                    <a:solidFill>
                      <a:srgbClr val="000000"/>
                    </a:solidFill>
                  </a:rPr>
                  <a:t>Log L</a:t>
                </a:r>
              </a:p>
            </c:rich>
          </c:tx>
          <c:layout>
            <c:manualLayout>
              <c:xMode val="factor"/>
              <c:yMode val="factor"/>
              <c:x val="-0.0007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6266452"/>
        <c:crossesAt val="1"/>
        <c:crossBetween val="midCat"/>
        <c:dispUnits/>
        <c:majorUnit val="0.2"/>
        <c:minorUnit val="0.1"/>
      </c:valAx>
      <c:spPr>
        <a:noFill/>
        <a:ln>
          <a:noFill/>
        </a:ln>
      </c:spPr>
    </c:plotArea>
    <c:legend>
      <c:legendPos val="r"/>
      <c:layout>
        <c:manualLayout>
          <c:xMode val="edge"/>
          <c:yMode val="edge"/>
          <c:x val="0.77225"/>
          <c:y val="0.28025"/>
          <c:w val="0.1085"/>
          <c:h val="0.05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'8''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37"/>
          <c:y val="0.1735"/>
          <c:w val="0.95375"/>
          <c:h val="0.76975"/>
        </c:manualLayout>
      </c:layout>
      <c:barChart>
        <c:barDir val="col"/>
        <c:grouping val="clustered"/>
        <c:varyColors val="0"/>
        <c:ser>
          <c:idx val="1"/>
          <c:order val="0"/>
          <c:tx>
            <c:strRef>
              <c:f>'8'' STR_CALC'!$AM$14</c:f>
              <c:strCache>
                <c:ptCount val="1"/>
                <c:pt idx="0">
                  <c:v>String material</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c:v>
                </c:pt>
              </c:strCache>
            </c:strRef>
          </c:cat>
          <c:val>
            <c:numRef>
              <c:f>'8'' STR_CALC'!$R$18:$R$85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er>
        <c:gapWidth val="50"/>
        <c:axId val="56595102"/>
        <c:axId val="39593871"/>
      </c:barChart>
      <c:lineChart>
        <c:grouping val="standard"/>
        <c:varyColors val="0"/>
        <c:ser>
          <c:idx val="0"/>
          <c:order val="1"/>
          <c:tx>
            <c:strRef>
              <c:f>'8'' STR_CALC'!$AM$16</c:f>
              <c:strCache>
                <c:ptCount val="1"/>
                <c:pt idx="0">
                  <c:v>Calculated tension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'8''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'8'' STR_CALC'!$W$18:$W$85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axId val="20800520"/>
        <c:axId val="52986953"/>
      </c:lineChart>
      <c:catAx>
        <c:axId val="56595102"/>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39593871"/>
        <c:crossesAt val="0"/>
        <c:auto val="0"/>
        <c:lblOffset val="100"/>
        <c:tickLblSkip val="12"/>
        <c:noMultiLvlLbl val="0"/>
      </c:catAx>
      <c:valAx>
        <c:axId val="39593871"/>
        <c:scaling>
          <c:orientation val="minMax"/>
          <c:max val="16"/>
          <c:min val="0"/>
        </c:scaling>
        <c:axPos val="l"/>
        <c:title>
          <c:tx>
            <c:rich>
              <a:bodyPr vert="horz" rot="0" anchor="ctr"/>
              <a:lstStyle/>
              <a:p>
                <a:pPr algn="ctr">
                  <a:defRPr/>
                </a:pPr>
                <a:r>
                  <a:rPr lang="en-US" cap="none" sz="1000" b="1" i="0" u="none" baseline="0">
                    <a:solidFill>
                      <a:srgbClr val="000000"/>
                    </a:solidFill>
                  </a:rPr>
                  <a:t>Kgf </a:t>
                </a:r>
              </a:p>
            </c:rich>
          </c:tx>
          <c:layout>
            <c:manualLayout>
              <c:xMode val="factor"/>
              <c:yMode val="factor"/>
              <c:x val="-0.000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56595102"/>
        <c:crossesAt val="1"/>
        <c:crossBetween val="between"/>
        <c:dispUnits/>
        <c:majorUnit val="2"/>
        <c:minorUnit val="1"/>
      </c:valAx>
      <c:catAx>
        <c:axId val="20800520"/>
        <c:scaling>
          <c:orientation val="minMax"/>
        </c:scaling>
        <c:axPos val="b"/>
        <c:title>
          <c:tx>
            <c:rich>
              <a:bodyPr vert="horz" rot="0" anchor="ctr"/>
              <a:lstStyle/>
              <a:p>
                <a:pPr algn="ctr">
                  <a:defRPr/>
                </a:pPr>
                <a:r>
                  <a:rPr lang="en-US" cap="none" sz="1000" b="0" i="0" u="none" baseline="0">
                    <a:solidFill>
                      <a:srgbClr val="000000"/>
                    </a:solidFill>
                  </a:rPr>
                  <a:t>Standard Note Number</a:t>
                </a:r>
              </a:p>
            </c:rich>
          </c:tx>
          <c:layout>
            <c:manualLayout>
              <c:xMode val="factor"/>
              <c:yMode val="factor"/>
              <c:x val="-0.00075"/>
              <c:y val="0.0995"/>
            </c:manualLayout>
          </c:layout>
          <c:overlay val="0"/>
          <c:spPr>
            <a:noFill/>
            <a:ln>
              <a:noFill/>
            </a:ln>
          </c:spPr>
        </c:title>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52986953"/>
        <c:crossesAt val="16"/>
        <c:auto val="0"/>
        <c:lblOffset val="100"/>
        <c:tickLblSkip val="1"/>
        <c:noMultiLvlLbl val="0"/>
      </c:catAx>
      <c:valAx>
        <c:axId val="52986953"/>
        <c:scaling>
          <c:orientation val="minMax"/>
          <c:max val="16"/>
          <c:min val="0"/>
        </c:scaling>
        <c:axPos val="l"/>
        <c:delete val="0"/>
        <c:numFmt formatCode="General" sourceLinked="1"/>
        <c:majorTickMark val="none"/>
        <c:minorTickMark val="none"/>
        <c:tickLblPos val="none"/>
        <c:spPr>
          <a:ln w="3175">
            <a:solidFill>
              <a:srgbClr val="000000"/>
            </a:solidFill>
          </a:ln>
        </c:spPr>
        <c:crossAx val="20800520"/>
        <c:crossesAt val="1"/>
        <c:crossBetween val="between"/>
        <c:dispUnits/>
        <c:majorUnit val="2"/>
        <c:minorUnit val="1"/>
      </c:valAx>
      <c:spPr>
        <a:noFill/>
        <a:ln>
          <a:noFill/>
        </a:ln>
      </c:spPr>
    </c:plotArea>
    <c:legend>
      <c:legendPos val="r"/>
      <c:layout>
        <c:manualLayout>
          <c:xMode val="edge"/>
          <c:yMode val="edge"/>
          <c:x val="0.82275"/>
          <c:y val="0.37175"/>
          <c:w val="0.0905"/>
          <c:h val="0.05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'4'' STR_CALC'!$B$9:$F$9</c:f>
        </c:strRef>
      </c:tx>
      <c:layout>
        <c:manualLayout>
          <c:xMode val="factor"/>
          <c:yMode val="factor"/>
          <c:x val="-0.00825"/>
          <c:y val="0"/>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355"/>
          <c:y val="0.144"/>
          <c:w val="0.95575"/>
          <c:h val="0.79925"/>
        </c:manualLayout>
      </c:layout>
      <c:barChart>
        <c:barDir val="col"/>
        <c:grouping val="clustered"/>
        <c:varyColors val="0"/>
        <c:ser>
          <c:idx val="1"/>
          <c:order val="0"/>
          <c:tx>
            <c:strRef>
              <c:f>'4'' STR_CALC'!$AL$14</c:f>
              <c:strCache>
                <c:ptCount val="1"/>
                <c:pt idx="0">
                  <c:v>String material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 ?</c:v>
                </c:pt>
              </c:strCache>
            </c:strRef>
          </c:cat>
          <c:val>
            <c:numRef>
              <c:f>'4'' STR_CALC'!$G$18:$G$85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er>
        <c:gapWidth val="50"/>
        <c:axId val="7120530"/>
        <c:axId val="64084771"/>
      </c:barChart>
      <c:lineChart>
        <c:grouping val="standard"/>
        <c:varyColors val="0"/>
        <c:ser>
          <c:idx val="0"/>
          <c:order val="1"/>
          <c:tx>
            <c:strRef>
              <c:f>'8'' STR_CALC'!$AM$16</c:f>
              <c:strCache>
                <c:ptCount val="1"/>
                <c:pt idx="0">
                  <c:v>Calculated tension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'4''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'8'' STR_CALC'!$L$18:$L$85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mooth val="0"/>
        </c:ser>
        <c:axId val="39892028"/>
        <c:axId val="23483933"/>
      </c:lineChart>
      <c:catAx>
        <c:axId val="7120530"/>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084771"/>
        <c:crossesAt val="0"/>
        <c:auto val="0"/>
        <c:lblOffset val="100"/>
        <c:tickLblSkip val="12"/>
        <c:noMultiLvlLbl val="0"/>
      </c:catAx>
      <c:valAx>
        <c:axId val="64084771"/>
        <c:scaling>
          <c:orientation val="minMax"/>
          <c:max val="16"/>
          <c:min val="0"/>
        </c:scaling>
        <c:axPos val="l"/>
        <c:title>
          <c:tx>
            <c:rich>
              <a:bodyPr vert="horz" rot="-5400000" anchor="ctr"/>
              <a:lstStyle/>
              <a:p>
                <a:pPr algn="ctr">
                  <a:defRPr/>
                </a:pPr>
                <a:r>
                  <a:rPr lang="en-US" cap="none" sz="1000" b="1" i="0" u="none" baseline="0">
                    <a:solidFill>
                      <a:srgbClr val="000000"/>
                    </a:solidFill>
                  </a:rPr>
                  <a:t>Kgf </a:t>
                </a:r>
              </a:p>
            </c:rich>
          </c:tx>
          <c:layout>
            <c:manualLayout>
              <c:xMode val="factor"/>
              <c:yMode val="factor"/>
              <c:x val="0"/>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7120530"/>
        <c:crossesAt val="1"/>
        <c:crossBetween val="between"/>
        <c:dispUnits/>
        <c:majorUnit val="1"/>
        <c:minorUnit val="1"/>
      </c:valAx>
      <c:catAx>
        <c:axId val="39892028"/>
        <c:scaling>
          <c:orientation val="minMax"/>
        </c:scaling>
        <c:axPos val="b"/>
        <c:delete val="1"/>
        <c:majorTickMark val="out"/>
        <c:minorTickMark val="none"/>
        <c:tickLblPos val="nextTo"/>
        <c:crossAx val="23483933"/>
        <c:crossesAt val="0"/>
        <c:auto val="0"/>
        <c:lblOffset val="100"/>
        <c:tickLblSkip val="1"/>
        <c:noMultiLvlLbl val="0"/>
      </c:catAx>
      <c:valAx>
        <c:axId val="23483933"/>
        <c:scaling>
          <c:orientation val="minMax"/>
          <c:max val="16"/>
          <c:min val="0"/>
        </c:scaling>
        <c:axPos val="l"/>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39892028"/>
        <c:crosses val="max"/>
        <c:crossBetween val="between"/>
        <c:dispUnits/>
        <c:majorUnit val="1"/>
        <c:minorUnit val="1"/>
      </c:valAx>
      <c:spPr>
        <a:noFill/>
        <a:ln>
          <a:noFill/>
        </a:ln>
      </c:spPr>
    </c:plotArea>
    <c:legend>
      <c:legendPos val="r"/>
      <c:layout>
        <c:manualLayout>
          <c:xMode val="edge"/>
          <c:yMode val="edge"/>
          <c:x val="0.8155"/>
          <c:y val="0.2625"/>
          <c:w val="0.0905"/>
          <c:h val="0.05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'4'' STR_CALC'!$B$9:$F$9</c:f>
        </c:strRef>
      </c:tx>
      <c:layout>
        <c:manualLayout>
          <c:xMode val="factor"/>
          <c:yMode val="factor"/>
          <c:x val="-0.00825"/>
          <c:y val="-0.0045"/>
        </c:manualLayout>
      </c:layout>
      <c:spPr>
        <a:noFill/>
        <a:ln>
          <a:noFill/>
        </a:ln>
      </c:spPr>
      <c:txPr>
        <a:bodyPr vert="horz" rot="0"/>
        <a:lstStyle/>
        <a:p>
          <a:pPr>
            <a:defRPr lang="en-US" cap="none" sz="1350" b="1" i="0" u="none" baseline="0">
              <a:solidFill>
                <a:srgbClr val="000000"/>
              </a:solidFill>
            </a:defRPr>
          </a:pPr>
        </a:p>
      </c:txPr>
    </c:title>
    <c:plotArea>
      <c:layout>
        <c:manualLayout>
          <c:xMode val="edge"/>
          <c:yMode val="edge"/>
          <c:x val="0.037"/>
          <c:y val="0.1735"/>
          <c:w val="0.95375"/>
          <c:h val="0.76975"/>
        </c:manualLayout>
      </c:layout>
      <c:barChart>
        <c:barDir val="col"/>
        <c:grouping val="clustered"/>
        <c:varyColors val="0"/>
        <c:ser>
          <c:idx val="1"/>
          <c:order val="0"/>
          <c:tx>
            <c:strRef>
              <c:f>'4'' STR_CALC'!$AL$14</c:f>
              <c:strCache>
                <c:ptCount val="1"/>
                <c:pt idx="0">
                  <c:v>String material</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 ?</c:v>
                </c:pt>
              </c:strCache>
            </c:strRef>
          </c:cat>
          <c:val>
            <c:numRef>
              <c:f>'4'' STR_CALC'!$R$18:$R$85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er>
        <c:ser>
          <c:idx val="2"/>
          <c:order val="1"/>
          <c:tx>
            <c:strRef>
              <c:f>'4'' STR_CALC'!$AL$15</c:f>
              <c:strCache>
                <c:ptCount val="1"/>
                <c:pt idx="0">
                  <c:v>Rec. max. tension</c:v>
                </c:pt>
              </c:strCache>
            </c:strRef>
          </c:tx>
          <c:spPr>
            <a:pattFill prst="ltUpDiag">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STR_CALC'!$B$18:$B$85</c:f>
              <c:strCache>
                <c:ptCount val="68"/>
                <c:pt idx="0">
                  <c:v>CC</c:v>
                </c:pt>
                <c:pt idx="1">
                  <c:v>CC #</c:v>
                </c:pt>
                <c:pt idx="2">
                  <c:v>DD</c:v>
                </c:pt>
                <c:pt idx="3">
                  <c:v>DD #</c:v>
                </c:pt>
                <c:pt idx="4">
                  <c:v>EE</c:v>
                </c:pt>
                <c:pt idx="5">
                  <c:v>FF</c:v>
                </c:pt>
                <c:pt idx="6">
                  <c:v>FF #</c:v>
                </c:pt>
                <c:pt idx="7">
                  <c:v>GG</c:v>
                </c:pt>
                <c:pt idx="8">
                  <c:v>GG #</c:v>
                </c:pt>
                <c:pt idx="9">
                  <c:v>AA</c:v>
                </c:pt>
                <c:pt idx="10">
                  <c:v>AA #</c:v>
                </c:pt>
                <c:pt idx="11">
                  <c:v>BB</c:v>
                </c:pt>
                <c:pt idx="12">
                  <c:v>C</c:v>
                </c:pt>
                <c:pt idx="13">
                  <c:v>C #</c:v>
                </c:pt>
                <c:pt idx="14">
                  <c:v>D</c:v>
                </c:pt>
                <c:pt idx="15">
                  <c:v>D #</c:v>
                </c:pt>
                <c:pt idx="16">
                  <c:v>E</c:v>
                </c:pt>
                <c:pt idx="17">
                  <c:v>F</c:v>
                </c:pt>
                <c:pt idx="18">
                  <c:v>F #</c:v>
                </c:pt>
                <c:pt idx="19">
                  <c:v>G</c:v>
                </c:pt>
                <c:pt idx="20">
                  <c:v>G #</c:v>
                </c:pt>
                <c:pt idx="21">
                  <c:v>A</c:v>
                </c:pt>
                <c:pt idx="22">
                  <c:v>A #</c:v>
                </c:pt>
                <c:pt idx="23">
                  <c:v>B</c:v>
                </c:pt>
                <c:pt idx="24">
                  <c:v>c</c:v>
                </c:pt>
                <c:pt idx="25">
                  <c:v>c #</c:v>
                </c:pt>
                <c:pt idx="26">
                  <c:v>d</c:v>
                </c:pt>
                <c:pt idx="27">
                  <c:v>d #</c:v>
                </c:pt>
                <c:pt idx="28">
                  <c:v>e</c:v>
                </c:pt>
                <c:pt idx="29">
                  <c:v>f</c:v>
                </c:pt>
                <c:pt idx="30">
                  <c:v>f #</c:v>
                </c:pt>
                <c:pt idx="31">
                  <c:v>g</c:v>
                </c:pt>
                <c:pt idx="32">
                  <c:v>g #</c:v>
                </c:pt>
                <c:pt idx="33">
                  <c:v>a</c:v>
                </c:pt>
                <c:pt idx="34">
                  <c:v>a #</c:v>
                </c:pt>
                <c:pt idx="35">
                  <c:v>b</c:v>
                </c:pt>
                <c:pt idx="36">
                  <c:v>c ?</c:v>
                </c:pt>
                <c:pt idx="37">
                  <c:v>c # ?</c:v>
                </c:pt>
                <c:pt idx="38">
                  <c:v>d ?</c:v>
                </c:pt>
                <c:pt idx="39">
                  <c:v>d # ?</c:v>
                </c:pt>
                <c:pt idx="40">
                  <c:v>e ?</c:v>
                </c:pt>
                <c:pt idx="41">
                  <c:v>f  ?</c:v>
                </c:pt>
                <c:pt idx="42">
                  <c:v>f # ?</c:v>
                </c:pt>
                <c:pt idx="43">
                  <c:v>g ?</c:v>
                </c:pt>
                <c:pt idx="44">
                  <c:v>g # ?</c:v>
                </c:pt>
                <c:pt idx="45">
                  <c:v>a ?</c:v>
                </c:pt>
                <c:pt idx="46">
                  <c:v>a # ?</c:v>
                </c:pt>
                <c:pt idx="47">
                  <c:v>b ?</c:v>
                </c:pt>
                <c:pt idx="48">
                  <c:v>c ?</c:v>
                </c:pt>
                <c:pt idx="49">
                  <c:v>c # ?</c:v>
                </c:pt>
                <c:pt idx="50">
                  <c:v>d ?</c:v>
                </c:pt>
                <c:pt idx="51">
                  <c:v>d # ?</c:v>
                </c:pt>
                <c:pt idx="52">
                  <c:v>e ?</c:v>
                </c:pt>
                <c:pt idx="53">
                  <c:v>f ?</c:v>
                </c:pt>
                <c:pt idx="54">
                  <c:v>f # ?</c:v>
                </c:pt>
                <c:pt idx="55">
                  <c:v>g ?</c:v>
                </c:pt>
                <c:pt idx="56">
                  <c:v>g # ?</c:v>
                </c:pt>
                <c:pt idx="57">
                  <c:v>a ?</c:v>
                </c:pt>
                <c:pt idx="58">
                  <c:v>a # ?</c:v>
                </c:pt>
                <c:pt idx="59">
                  <c:v>b ?</c:v>
                </c:pt>
                <c:pt idx="60">
                  <c:v>c ?</c:v>
                </c:pt>
                <c:pt idx="61">
                  <c:v>c # ?</c:v>
                </c:pt>
                <c:pt idx="62">
                  <c:v>d ?</c:v>
                </c:pt>
                <c:pt idx="63">
                  <c:v>d # ?</c:v>
                </c:pt>
                <c:pt idx="64">
                  <c:v>e ?</c:v>
                </c:pt>
                <c:pt idx="65">
                  <c:v>f ?</c:v>
                </c:pt>
                <c:pt idx="66">
                  <c:v>f # ?</c:v>
                </c:pt>
                <c:pt idx="67">
                  <c:v>g ?</c:v>
                </c:pt>
              </c:strCache>
            </c:strRef>
          </c:cat>
          <c:val>
            <c:numRef>
              <c:f>'4'' STR_CALC'!$Y$18:$Y$85</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er>
        <c:gapWidth val="50"/>
        <c:axId val="10028806"/>
        <c:axId val="23150391"/>
      </c:barChart>
      <c:lineChart>
        <c:grouping val="standard"/>
        <c:varyColors val="0"/>
        <c:ser>
          <c:idx val="0"/>
          <c:order val="2"/>
          <c:tx>
            <c:strRef>
              <c:f>'4'' STR_CALC'!$AL$16</c:f>
              <c:strCache>
                <c:ptCount val="1"/>
                <c:pt idx="0">
                  <c:v>Calculated tension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'4'' STR_CALC'!$A$18:$A$85</c:f>
              <c:numCache>
                <c:ptCount val="68"/>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54</c:v>
                </c:pt>
                <c:pt idx="51">
                  <c:v>55</c:v>
                </c:pt>
                <c:pt idx="52">
                  <c:v>56</c:v>
                </c:pt>
                <c:pt idx="53">
                  <c:v>57</c:v>
                </c:pt>
                <c:pt idx="54">
                  <c:v>58</c:v>
                </c:pt>
                <c:pt idx="55">
                  <c:v>59</c:v>
                </c:pt>
                <c:pt idx="56">
                  <c:v>60</c:v>
                </c:pt>
                <c:pt idx="57">
                  <c:v>61</c:v>
                </c:pt>
                <c:pt idx="58">
                  <c:v>62</c:v>
                </c:pt>
                <c:pt idx="59">
                  <c:v>63</c:v>
                </c:pt>
                <c:pt idx="60">
                  <c:v>64</c:v>
                </c:pt>
                <c:pt idx="61">
                  <c:v>65</c:v>
                </c:pt>
                <c:pt idx="62">
                  <c:v>66</c:v>
                </c:pt>
                <c:pt idx="63">
                  <c:v>67</c:v>
                </c:pt>
                <c:pt idx="64">
                  <c:v>68</c:v>
                </c:pt>
                <c:pt idx="65">
                  <c:v>69</c:v>
                </c:pt>
                <c:pt idx="66">
                  <c:v>70</c:v>
                </c:pt>
                <c:pt idx="67">
                  <c:v>71</c:v>
                </c:pt>
              </c:numCache>
            </c:numRef>
          </c:cat>
          <c:val>
            <c:numRef>
              <c:f>'4'' STR_CALC'!$V$18:$V$85</c:f>
              <c:numCach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Cache>
            </c:numRef>
          </c:val>
          <c:smooth val="0"/>
        </c:ser>
        <c:axId val="7026928"/>
        <c:axId val="63242353"/>
      </c:lineChart>
      <c:catAx>
        <c:axId val="10028806"/>
        <c:scaling>
          <c:orientation val="minMax"/>
        </c:scaling>
        <c:axPos val="b"/>
        <c:title>
          <c:tx>
            <c:rich>
              <a:bodyPr vert="horz" rot="0" anchor="ctr"/>
              <a:lstStyle/>
              <a:p>
                <a:pPr algn="ctr">
                  <a:defRPr/>
                </a:pPr>
                <a:r>
                  <a:rPr lang="en-US" cap="none" sz="1000" b="1" i="0" u="none" baseline="0">
                    <a:solidFill>
                      <a:srgbClr val="000000"/>
                    </a:solidFill>
                  </a:rPr>
                  <a:t>Compass</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3150391"/>
        <c:crossesAt val="0"/>
        <c:auto val="0"/>
        <c:lblOffset val="100"/>
        <c:tickLblSkip val="12"/>
        <c:noMultiLvlLbl val="0"/>
      </c:catAx>
      <c:valAx>
        <c:axId val="23150391"/>
        <c:scaling>
          <c:orientation val="minMax"/>
          <c:max val="16"/>
          <c:min val="0"/>
        </c:scaling>
        <c:axPos val="l"/>
        <c:title>
          <c:tx>
            <c:rich>
              <a:bodyPr vert="horz" rot="0" anchor="ctr"/>
              <a:lstStyle/>
              <a:p>
                <a:pPr algn="ctr">
                  <a:defRPr/>
                </a:pPr>
                <a:r>
                  <a:rPr lang="en-US" cap="none" sz="1000" b="1" i="0" u="none" baseline="0">
                    <a:solidFill>
                      <a:srgbClr val="000000"/>
                    </a:solidFill>
                  </a:rPr>
                  <a:t>Kgf </a:t>
                </a:r>
              </a:p>
            </c:rich>
          </c:tx>
          <c:layout>
            <c:manualLayout>
              <c:xMode val="factor"/>
              <c:yMode val="factor"/>
              <c:x val="-0.000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out"/>
        <c:tickLblPos val="nextTo"/>
        <c:spPr>
          <a:ln w="3175">
            <a:solidFill>
              <a:srgbClr val="000000"/>
            </a:solidFill>
          </a:ln>
        </c:spPr>
        <c:txPr>
          <a:bodyPr vert="horz" rot="0"/>
          <a:lstStyle/>
          <a:p>
            <a:pPr>
              <a:defRPr lang="en-US" cap="none" sz="800" b="0" i="0" u="none" baseline="0">
                <a:solidFill>
                  <a:srgbClr val="000000"/>
                </a:solidFill>
              </a:defRPr>
            </a:pPr>
          </a:p>
        </c:txPr>
        <c:crossAx val="10028806"/>
        <c:crossesAt val="1"/>
        <c:crossBetween val="between"/>
        <c:dispUnits/>
        <c:majorUnit val="2"/>
        <c:minorUnit val="1"/>
      </c:valAx>
      <c:catAx>
        <c:axId val="7026928"/>
        <c:scaling>
          <c:orientation val="minMax"/>
        </c:scaling>
        <c:axPos val="b"/>
        <c:title>
          <c:tx>
            <c:rich>
              <a:bodyPr vert="horz" rot="0" anchor="ctr"/>
              <a:lstStyle/>
              <a:p>
                <a:pPr algn="ctr">
                  <a:defRPr/>
                </a:pPr>
                <a:r>
                  <a:rPr lang="en-US" cap="none" sz="1000" b="0" i="0" u="none" baseline="0">
                    <a:solidFill>
                      <a:srgbClr val="000000"/>
                    </a:solidFill>
                  </a:rPr>
                  <a:t>Standard Note Number</a:t>
                </a:r>
              </a:p>
            </c:rich>
          </c:tx>
          <c:layout>
            <c:manualLayout>
              <c:xMode val="factor"/>
              <c:yMode val="factor"/>
              <c:x val="-0.00075"/>
              <c:y val="0.0995"/>
            </c:manualLayout>
          </c:layout>
          <c:overlay val="0"/>
          <c:spPr>
            <a:noFill/>
            <a:ln>
              <a:noFill/>
            </a:ln>
          </c:spPr>
        </c:title>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63242353"/>
        <c:crossesAt val="16"/>
        <c:auto val="0"/>
        <c:lblOffset val="100"/>
        <c:tickLblSkip val="1"/>
        <c:noMultiLvlLbl val="0"/>
      </c:catAx>
      <c:valAx>
        <c:axId val="63242353"/>
        <c:scaling>
          <c:orientation val="minMax"/>
          <c:max val="16"/>
          <c:min val="0"/>
        </c:scaling>
        <c:axPos val="l"/>
        <c:delete val="0"/>
        <c:numFmt formatCode="General" sourceLinked="1"/>
        <c:majorTickMark val="none"/>
        <c:minorTickMark val="none"/>
        <c:tickLblPos val="none"/>
        <c:spPr>
          <a:ln w="3175">
            <a:solidFill>
              <a:srgbClr val="000000"/>
            </a:solidFill>
          </a:ln>
        </c:spPr>
        <c:crossAx val="7026928"/>
        <c:crossesAt val="1"/>
        <c:crossBetween val="between"/>
        <c:dispUnits/>
        <c:majorUnit val="2"/>
        <c:minorUnit val="1"/>
      </c:valAx>
      <c:spPr>
        <a:noFill/>
        <a:ln>
          <a:noFill/>
        </a:ln>
      </c:spPr>
    </c:plotArea>
    <c:legend>
      <c:legendPos val="r"/>
      <c:layout>
        <c:manualLayout>
          <c:xMode val="edge"/>
          <c:yMode val="edge"/>
          <c:x val="0.82275"/>
          <c:y val="0.36"/>
          <c:w val="0.0905"/>
          <c:h val="0.07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&amp;L&amp;F&amp;C8' Log String Length chart&amp;R&amp;D</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&amp;L&amp;F&amp;C&amp;12Proposed restringing&amp;R&amp;D</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&amp;L&amp;F&amp;C8' proposed restring tensions&amp;R&amp;D</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&amp;L&amp;F&amp;C4' Log. String Length chart&amp;R&amp;D</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&amp;L&amp;F&amp;CTotal (2 x 8') Tension&amp;R&amp;D</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&amp;L&amp;F&amp;C4' String Tensions (as found)&amp;R&amp;D</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76"/>
  </sheetViews>
  <pageMargins left="0.7480314960629921" right="0.7480314960629921" top="0.984251968503937" bottom="0.984251968503937" header="0.5" footer="0.5"/>
  <pageSetup horizontalDpi="300" verticalDpi="300" orientation="landscape" paperSize="9"/>
  <headerFooter>
    <oddHeader>&amp;L&amp;F&amp;C4' Proposed Restring Tensions&amp;R&amp;D</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5762625"/>
    <xdr:graphicFrame>
      <xdr:nvGraphicFramePr>
        <xdr:cNvPr id="1" name="Shape 1025"/>
        <xdr:cNvGraphicFramePr/>
      </xdr:nvGraphicFramePr>
      <xdr:xfrm>
        <a:off x="0" y="0"/>
        <a:ext cx="9334500" cy="5762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R106"/>
  <sheetViews>
    <sheetView showZeros="0" workbookViewId="0" topLeftCell="AI1">
      <pane ySplit="17" topLeftCell="BM18" activePane="bottomLeft" state="frozen"/>
      <selection pane="topLeft" activeCell="A1" sqref="A1"/>
      <selection pane="bottomLeft" activeCell="AZ39" sqref="AZ39"/>
    </sheetView>
  </sheetViews>
  <sheetFormatPr defaultColWidth="9.140625" defaultRowHeight="12.75"/>
  <cols>
    <col min="1" max="1" width="13.00390625" style="31" customWidth="1"/>
    <col min="2" max="2" width="10.421875" style="31" customWidth="1"/>
    <col min="3" max="3" width="7.8515625" style="34" customWidth="1"/>
    <col min="4" max="4" width="12.421875" style="31" customWidth="1"/>
    <col min="5" max="5" width="8.57421875" style="31" customWidth="1"/>
    <col min="6" max="6" width="6.140625" style="31" customWidth="1"/>
    <col min="7" max="7" width="7.57421875" style="191" customWidth="1"/>
    <col min="8" max="9" width="9.140625" style="24" customWidth="1"/>
    <col min="10" max="11" width="9.140625" style="34" customWidth="1"/>
    <col min="12" max="12" width="8.57421875" style="31" customWidth="1"/>
    <col min="13" max="13" width="9.140625" style="266" customWidth="1"/>
    <col min="14" max="14" width="9.140625" style="34" customWidth="1"/>
    <col min="15" max="15" width="9.140625" style="33" customWidth="1"/>
    <col min="16" max="16" width="8.421875" style="35" customWidth="1"/>
    <col min="17" max="17" width="8.140625" style="33" customWidth="1"/>
    <col min="18" max="18" width="9.140625" style="34" customWidth="1"/>
    <col min="19" max="19" width="9.140625" style="24" customWidth="1"/>
    <col min="20" max="20" width="9.140625" style="25" customWidth="1"/>
    <col min="21" max="21" width="15.8515625" style="383" customWidth="1"/>
    <col min="22" max="22" width="15.8515625" style="378" customWidth="1"/>
    <col min="23" max="23" width="8.140625" style="33" customWidth="1"/>
    <col min="24" max="24" width="9.140625" style="269" customWidth="1"/>
    <col min="25" max="25" width="9.140625" style="33" customWidth="1"/>
    <col min="26" max="26" width="8.57421875" style="31" customWidth="1"/>
    <col min="27" max="27" width="9.140625" style="31" customWidth="1"/>
    <col min="28" max="28" width="11.421875" style="32" customWidth="1"/>
    <col min="29" max="48" width="9.140625" style="31" customWidth="1"/>
    <col min="49" max="50" width="9.140625" style="33" customWidth="1"/>
    <col min="51" max="51" width="33.421875" style="31" customWidth="1"/>
    <col min="52" max="52" width="14.57421875" style="31" customWidth="1"/>
    <col min="53" max="53" width="9.140625" style="31" customWidth="1"/>
    <col min="54" max="55" width="12.57421875" style="31" customWidth="1"/>
    <col min="56" max="56" width="12.57421875" style="34" hidden="1" customWidth="1"/>
    <col min="57" max="57" width="12.57421875" style="31" customWidth="1"/>
    <col min="58" max="58" width="12.57421875" style="35" customWidth="1"/>
    <col min="59" max="59" width="12.57421875" style="31" customWidth="1"/>
    <col min="60" max="60" width="12.57421875" style="34" hidden="1" customWidth="1"/>
    <col min="61" max="62" width="12.57421875" style="31" customWidth="1"/>
    <col min="63" max="63" width="12.57421875" style="34" hidden="1" customWidth="1"/>
    <col min="64" max="64" width="12.57421875" style="31" customWidth="1"/>
    <col min="65" max="66" width="12.57421875" style="34" hidden="1" customWidth="1"/>
    <col min="67" max="67" width="12.57421875" style="31" customWidth="1"/>
    <col min="68" max="68" width="9.140625" style="31" customWidth="1"/>
    <col min="69" max="69" width="13.8515625" style="31" customWidth="1"/>
    <col min="70" max="16384" width="9.140625" style="31" customWidth="1"/>
  </cols>
  <sheetData>
    <row r="1" spans="1:58" s="10" customFormat="1" ht="27.75" customHeight="1" thickBot="1">
      <c r="A1" s="401" t="s">
        <v>148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8"/>
      <c r="AB1" s="9"/>
      <c r="AW1" s="11"/>
      <c r="AX1" s="11"/>
      <c r="BF1" s="12"/>
    </row>
    <row r="2" spans="1:58" s="278" customFormat="1" ht="48.75" hidden="1" thickTop="1">
      <c r="A2" s="286" t="s">
        <v>153</v>
      </c>
      <c r="B2" s="287"/>
      <c r="C2" s="287"/>
      <c r="D2" s="287"/>
      <c r="E2" s="287"/>
      <c r="F2" s="287"/>
      <c r="G2" s="288"/>
      <c r="H2" s="287"/>
      <c r="I2" s="287"/>
      <c r="J2" s="287"/>
      <c r="K2" s="287"/>
      <c r="L2" s="287"/>
      <c r="M2" s="289"/>
      <c r="N2" s="287"/>
      <c r="O2" s="357"/>
      <c r="P2" s="291"/>
      <c r="Q2" s="357"/>
      <c r="R2" s="287"/>
      <c r="S2" s="287"/>
      <c r="T2" s="290"/>
      <c r="U2" s="385"/>
      <c r="V2" s="365"/>
      <c r="W2" s="292"/>
      <c r="X2" s="293"/>
      <c r="Y2" s="294"/>
      <c r="Z2" s="295"/>
      <c r="AB2" s="279"/>
      <c r="AW2" s="280"/>
      <c r="AX2" s="280"/>
      <c r="BF2" s="281"/>
    </row>
    <row r="3" spans="1:58" s="10" customFormat="1" ht="48" hidden="1">
      <c r="A3" s="296" t="s">
        <v>152</v>
      </c>
      <c r="B3" s="297"/>
      <c r="C3" s="297"/>
      <c r="D3" s="297"/>
      <c r="E3" s="297"/>
      <c r="F3" s="297"/>
      <c r="G3" s="298"/>
      <c r="H3" s="297"/>
      <c r="I3" s="297"/>
      <c r="J3" s="297"/>
      <c r="K3" s="297"/>
      <c r="L3" s="297"/>
      <c r="M3" s="299"/>
      <c r="N3" s="297"/>
      <c r="O3" s="358"/>
      <c r="P3" s="302"/>
      <c r="Q3" s="379"/>
      <c r="R3" s="300"/>
      <c r="S3" s="300"/>
      <c r="T3" s="301"/>
      <c r="U3" s="386"/>
      <c r="V3" s="366"/>
      <c r="W3" s="303"/>
      <c r="X3" s="304"/>
      <c r="Y3" s="305"/>
      <c r="Z3" s="306"/>
      <c r="AB3" s="9"/>
      <c r="AW3" s="11"/>
      <c r="AX3" s="11"/>
      <c r="BF3" s="12"/>
    </row>
    <row r="4" spans="1:58" s="10" customFormat="1" ht="60" hidden="1">
      <c r="A4" s="296" t="s">
        <v>117</v>
      </c>
      <c r="B4" s="297"/>
      <c r="C4" s="297"/>
      <c r="D4" s="297"/>
      <c r="E4" s="297"/>
      <c r="F4" s="297"/>
      <c r="G4" s="298"/>
      <c r="H4" s="297"/>
      <c r="I4" s="297"/>
      <c r="J4" s="297"/>
      <c r="K4" s="297"/>
      <c r="L4" s="297"/>
      <c r="M4" s="299"/>
      <c r="N4" s="297"/>
      <c r="O4" s="358"/>
      <c r="P4" s="302"/>
      <c r="Q4" s="379"/>
      <c r="R4" s="300"/>
      <c r="S4" s="300"/>
      <c r="T4" s="301"/>
      <c r="U4" s="386"/>
      <c r="V4" s="366"/>
      <c r="W4" s="303"/>
      <c r="X4" s="304"/>
      <c r="Y4" s="305"/>
      <c r="Z4" s="306"/>
      <c r="AB4" s="9"/>
      <c r="AW4" s="11"/>
      <c r="AX4" s="11"/>
      <c r="BF4" s="12"/>
    </row>
    <row r="5" spans="1:58" s="10" customFormat="1" ht="48" hidden="1">
      <c r="A5" s="296" t="s">
        <v>154</v>
      </c>
      <c r="B5" s="297"/>
      <c r="C5" s="297"/>
      <c r="D5" s="297"/>
      <c r="E5" s="297"/>
      <c r="F5" s="297"/>
      <c r="G5" s="298"/>
      <c r="H5" s="297"/>
      <c r="I5" s="297"/>
      <c r="J5" s="297"/>
      <c r="K5" s="297"/>
      <c r="L5" s="297"/>
      <c r="M5" s="299"/>
      <c r="N5" s="297"/>
      <c r="O5" s="358"/>
      <c r="P5" s="302"/>
      <c r="Q5" s="379"/>
      <c r="R5" s="300"/>
      <c r="S5" s="300"/>
      <c r="T5" s="301"/>
      <c r="U5" s="386"/>
      <c r="V5" s="366"/>
      <c r="W5" s="303"/>
      <c r="X5" s="304"/>
      <c r="Y5" s="305"/>
      <c r="Z5" s="306"/>
      <c r="AB5" s="9"/>
      <c r="AW5" s="11"/>
      <c r="AX5" s="11"/>
      <c r="BF5" s="12"/>
    </row>
    <row r="6" spans="1:58" s="10" customFormat="1" ht="36" hidden="1">
      <c r="A6" s="296" t="s">
        <v>119</v>
      </c>
      <c r="B6" s="297"/>
      <c r="C6" s="297"/>
      <c r="D6" s="297"/>
      <c r="E6" s="297"/>
      <c r="F6" s="297"/>
      <c r="G6" s="298"/>
      <c r="H6" s="297"/>
      <c r="I6" s="297"/>
      <c r="J6" s="297"/>
      <c r="K6" s="297"/>
      <c r="L6" s="297"/>
      <c r="M6" s="299"/>
      <c r="N6" s="297"/>
      <c r="O6" s="358"/>
      <c r="P6" s="302"/>
      <c r="Q6" s="379"/>
      <c r="R6" s="300"/>
      <c r="S6" s="300"/>
      <c r="T6" s="301"/>
      <c r="U6" s="386"/>
      <c r="V6" s="366"/>
      <c r="W6" s="303"/>
      <c r="X6" s="304"/>
      <c r="Y6" s="305"/>
      <c r="Z6" s="306"/>
      <c r="AB6" s="9"/>
      <c r="AW6" s="11"/>
      <c r="AX6" s="11"/>
      <c r="BF6" s="12"/>
    </row>
    <row r="7" spans="1:58" s="10" customFormat="1" ht="60" hidden="1">
      <c r="A7" s="296" t="s">
        <v>146</v>
      </c>
      <c r="B7" s="297"/>
      <c r="C7" s="297"/>
      <c r="D7" s="297"/>
      <c r="E7" s="297"/>
      <c r="F7" s="297"/>
      <c r="G7" s="298"/>
      <c r="H7" s="297"/>
      <c r="I7" s="297"/>
      <c r="J7" s="297"/>
      <c r="K7" s="297"/>
      <c r="L7" s="297"/>
      <c r="M7" s="299"/>
      <c r="N7" s="297"/>
      <c r="O7" s="358"/>
      <c r="P7" s="302"/>
      <c r="Q7" s="379"/>
      <c r="R7" s="300"/>
      <c r="S7" s="300"/>
      <c r="T7" s="301"/>
      <c r="U7" s="386"/>
      <c r="V7" s="366"/>
      <c r="W7" s="303"/>
      <c r="X7" s="304"/>
      <c r="Y7" s="305"/>
      <c r="Z7" s="306"/>
      <c r="AB7" s="9"/>
      <c r="AW7" s="11"/>
      <c r="AX7" s="11"/>
      <c r="BF7" s="12"/>
    </row>
    <row r="8" spans="1:58" s="282" customFormat="1" ht="75.75" hidden="1" thickBot="1">
      <c r="A8" s="307" t="s">
        <v>147</v>
      </c>
      <c r="B8" s="308"/>
      <c r="C8" s="308"/>
      <c r="D8" s="308"/>
      <c r="E8" s="308"/>
      <c r="F8" s="308"/>
      <c r="G8" s="308"/>
      <c r="H8" s="308"/>
      <c r="I8" s="308"/>
      <c r="J8" s="308"/>
      <c r="K8" s="308"/>
      <c r="L8" s="308"/>
      <c r="M8" s="309"/>
      <c r="N8" s="308"/>
      <c r="O8" s="359"/>
      <c r="P8" s="312"/>
      <c r="Q8" s="380"/>
      <c r="R8" s="310"/>
      <c r="S8" s="310"/>
      <c r="T8" s="311"/>
      <c r="U8" s="387"/>
      <c r="V8" s="367"/>
      <c r="W8" s="313"/>
      <c r="X8" s="314"/>
      <c r="Y8" s="315"/>
      <c r="Z8" s="316"/>
      <c r="AB8" s="283"/>
      <c r="AW8" s="284"/>
      <c r="AX8" s="284"/>
      <c r="BF8" s="285"/>
    </row>
    <row r="9" spans="1:26" ht="21" customHeight="1" thickBot="1" thickTop="1">
      <c r="A9" s="13" t="s">
        <v>121</v>
      </c>
      <c r="B9" s="277" t="s">
        <v>150</v>
      </c>
      <c r="C9" s="14"/>
      <c r="D9" s="15"/>
      <c r="G9" s="17"/>
      <c r="H9" s="18"/>
      <c r="I9" s="19"/>
      <c r="J9" s="16"/>
      <c r="K9" s="16"/>
      <c r="L9" s="276"/>
      <c r="M9" s="21"/>
      <c r="N9" s="22"/>
      <c r="O9" s="360"/>
      <c r="P9" s="318"/>
      <c r="Q9" s="360"/>
      <c r="R9" s="23"/>
      <c r="U9" s="388" t="s">
        <v>122</v>
      </c>
      <c r="V9" s="368"/>
      <c r="W9" s="27" t="s">
        <v>123</v>
      </c>
      <c r="X9" s="28"/>
      <c r="Y9" s="29"/>
      <c r="Z9" s="30" t="s">
        <v>124</v>
      </c>
    </row>
    <row r="10" spans="1:62" ht="13.5" thickBot="1">
      <c r="A10" s="13" t="s">
        <v>127</v>
      </c>
      <c r="B10" s="275">
        <v>409</v>
      </c>
      <c r="D10" s="36"/>
      <c r="E10" s="37"/>
      <c r="F10" s="37"/>
      <c r="G10" s="38"/>
      <c r="J10" s="14"/>
      <c r="K10" s="19"/>
      <c r="L10" s="36"/>
      <c r="M10" s="39"/>
      <c r="N10" s="14"/>
      <c r="O10" s="361"/>
      <c r="P10" s="319"/>
      <c r="Q10" s="361"/>
      <c r="R10" s="14"/>
      <c r="S10" s="23"/>
      <c r="U10" s="389" t="s">
        <v>125</v>
      </c>
      <c r="V10" s="369"/>
      <c r="W10" s="41" t="s">
        <v>126</v>
      </c>
      <c r="X10" s="42"/>
      <c r="Y10" s="41"/>
      <c r="Z10" s="43"/>
      <c r="BF10" s="44"/>
      <c r="BG10" s="45"/>
      <c r="BH10" s="24"/>
      <c r="BI10" s="46"/>
      <c r="BJ10" s="47"/>
    </row>
    <row r="11" spans="1:62" ht="12.75">
      <c r="A11" s="36"/>
      <c r="B11" s="36"/>
      <c r="C11" s="36"/>
      <c r="D11" s="36"/>
      <c r="E11" s="49"/>
      <c r="F11" s="50"/>
      <c r="G11" s="38"/>
      <c r="H11" s="19"/>
      <c r="J11" s="48"/>
      <c r="L11" s="36"/>
      <c r="M11" s="39"/>
      <c r="N11" s="14"/>
      <c r="O11" s="361"/>
      <c r="P11" s="319"/>
      <c r="Q11" s="361"/>
      <c r="R11" s="14"/>
      <c r="S11" s="23"/>
      <c r="U11" s="389" t="s">
        <v>128</v>
      </c>
      <c r="V11" s="369"/>
      <c r="W11" s="41" t="s">
        <v>129</v>
      </c>
      <c r="X11" s="42"/>
      <c r="Y11" s="41"/>
      <c r="Z11" s="51"/>
      <c r="AF11" s="52"/>
      <c r="AG11" s="52"/>
      <c r="AH11" s="52"/>
      <c r="AI11" s="52"/>
      <c r="AJ11" s="52"/>
      <c r="AK11" s="52"/>
      <c r="AL11" s="52"/>
      <c r="BF11" s="46"/>
      <c r="BG11" s="47"/>
      <c r="BH11" s="24"/>
      <c r="BI11" s="46"/>
      <c r="BJ11" s="47"/>
    </row>
    <row r="12" spans="1:62" ht="14.25" customHeight="1">
      <c r="A12" s="354" t="s">
        <v>157</v>
      </c>
      <c r="B12" s="354"/>
      <c r="C12" s="354"/>
      <c r="D12" s="354"/>
      <c r="E12" s="52"/>
      <c r="F12" s="52"/>
      <c r="G12" s="38"/>
      <c r="H12" s="19"/>
      <c r="J12" s="53"/>
      <c r="K12" s="53"/>
      <c r="L12" s="36"/>
      <c r="M12" s="39"/>
      <c r="N12" s="14"/>
      <c r="O12" s="361"/>
      <c r="P12" s="319"/>
      <c r="Q12" s="361"/>
      <c r="R12" s="14"/>
      <c r="S12" s="54"/>
      <c r="T12" s="55"/>
      <c r="U12" s="390" t="s">
        <v>159</v>
      </c>
      <c r="V12" s="370"/>
      <c r="W12" s="57" t="s">
        <v>131</v>
      </c>
      <c r="X12" s="58"/>
      <c r="Y12" s="57"/>
      <c r="Z12" s="59"/>
      <c r="AF12" s="52"/>
      <c r="AG12" s="52"/>
      <c r="AH12" s="52"/>
      <c r="AI12" s="52"/>
      <c r="AJ12" s="52"/>
      <c r="AK12" s="52"/>
      <c r="AL12" s="52"/>
      <c r="BF12" s="60"/>
      <c r="BG12" s="37"/>
      <c r="BH12" s="24"/>
      <c r="BI12" s="46"/>
      <c r="BJ12" s="46"/>
    </row>
    <row r="13" spans="1:62" ht="14.25" customHeight="1" thickBot="1">
      <c r="A13" s="36"/>
      <c r="B13" s="36"/>
      <c r="C13" s="36"/>
      <c r="D13" s="36"/>
      <c r="E13" s="52"/>
      <c r="F13" s="52"/>
      <c r="G13" s="38"/>
      <c r="H13" s="19"/>
      <c r="J13" s="53"/>
      <c r="K13" s="53"/>
      <c r="L13" s="36"/>
      <c r="M13" s="39"/>
      <c r="N13" s="14"/>
      <c r="O13" s="361"/>
      <c r="P13" s="319"/>
      <c r="Q13" s="361"/>
      <c r="R13" s="14"/>
      <c r="U13" s="391"/>
      <c r="V13" s="371"/>
      <c r="W13" s="41"/>
      <c r="X13" s="42"/>
      <c r="Y13" s="41"/>
      <c r="Z13" s="37"/>
      <c r="AF13" s="52"/>
      <c r="AG13" s="52"/>
      <c r="AH13" s="52"/>
      <c r="AI13" s="52"/>
      <c r="AJ13" s="52"/>
      <c r="AK13" s="52"/>
      <c r="AL13" s="52"/>
      <c r="BF13" s="60"/>
      <c r="BG13" s="37"/>
      <c r="BH13" s="24"/>
      <c r="BI13" s="46"/>
      <c r="BJ13" s="46"/>
    </row>
    <row r="14" spans="1:62" ht="14.25" thickBot="1" thickTop="1">
      <c r="A14" s="62"/>
      <c r="B14" s="63"/>
      <c r="C14" s="64"/>
      <c r="D14" s="65"/>
      <c r="E14" s="68" t="s">
        <v>112</v>
      </c>
      <c r="F14" s="69"/>
      <c r="G14" s="70"/>
      <c r="H14" s="71"/>
      <c r="I14" s="71">
        <f>2^(1/12)</f>
        <v>1.0594630943592953</v>
      </c>
      <c r="J14" s="66" t="s">
        <v>132</v>
      </c>
      <c r="K14" s="67"/>
      <c r="L14" s="72"/>
      <c r="M14" s="73"/>
      <c r="N14" s="74"/>
      <c r="O14" s="233"/>
      <c r="P14" s="320" t="s">
        <v>133</v>
      </c>
      <c r="Q14" s="381"/>
      <c r="R14" s="77"/>
      <c r="S14" s="77"/>
      <c r="T14" s="78"/>
      <c r="U14" s="392"/>
      <c r="V14" s="372"/>
      <c r="W14" s="80"/>
      <c r="X14" s="81"/>
      <c r="Y14" s="80"/>
      <c r="Z14" s="82" t="s">
        <v>134</v>
      </c>
      <c r="AM14" s="31" t="s">
        <v>135</v>
      </c>
      <c r="AO14" s="83" t="s">
        <v>136</v>
      </c>
      <c r="AP14" s="84"/>
      <c r="AQ14" s="84"/>
      <c r="AR14" s="84"/>
      <c r="AS14" s="84"/>
      <c r="AT14" s="84"/>
      <c r="AU14" s="85"/>
      <c r="AW14" s="86"/>
      <c r="AX14" s="86"/>
      <c r="AY14" s="87"/>
      <c r="AZ14" s="87"/>
      <c r="BF14" s="88"/>
      <c r="BG14" s="89"/>
      <c r="BH14" s="90"/>
      <c r="BI14" s="91"/>
      <c r="BJ14" s="91"/>
    </row>
    <row r="15" spans="1:69" ht="14.25" thickBot="1" thickTop="1">
      <c r="A15" s="92"/>
      <c r="B15" s="93"/>
      <c r="C15" s="24"/>
      <c r="D15" s="37"/>
      <c r="E15" s="96"/>
      <c r="F15" s="97" t="s">
        <v>140</v>
      </c>
      <c r="G15" s="98"/>
      <c r="H15" s="99"/>
      <c r="I15" s="100"/>
      <c r="J15" s="94" t="s">
        <v>138</v>
      </c>
      <c r="K15" s="95" t="s">
        <v>139</v>
      </c>
      <c r="L15" s="101" t="e">
        <f>SUM(L30:L80)</f>
        <v>#N/A</v>
      </c>
      <c r="M15" s="102"/>
      <c r="N15" s="102"/>
      <c r="O15" s="362"/>
      <c r="P15" s="321"/>
      <c r="Q15" s="382"/>
      <c r="R15" s="100"/>
      <c r="S15" s="100"/>
      <c r="T15" s="106"/>
      <c r="U15" s="393" t="s">
        <v>140</v>
      </c>
      <c r="V15" s="373"/>
      <c r="W15" s="101" t="e">
        <f>SUM(W30:W80)</f>
        <v>#DIV/0!</v>
      </c>
      <c r="X15" s="108"/>
      <c r="Y15" s="108"/>
      <c r="Z15" s="109" t="e">
        <f>(W15-L15)/L15</f>
        <v>#DIV/0!</v>
      </c>
      <c r="AM15" s="31" t="s">
        <v>141</v>
      </c>
      <c r="AO15" s="110" t="s">
        <v>142</v>
      </c>
      <c r="AP15" s="110" t="s">
        <v>143</v>
      </c>
      <c r="AQ15" s="111" t="s">
        <v>144</v>
      </c>
      <c r="AR15" s="112"/>
      <c r="AS15" s="112"/>
      <c r="AT15" s="112"/>
      <c r="AU15" s="113"/>
      <c r="AW15" s="86"/>
      <c r="AX15" s="86"/>
      <c r="AY15" s="87"/>
      <c r="AZ15" s="87"/>
      <c r="BB15" s="398" t="s">
        <v>145</v>
      </c>
      <c r="BC15" s="399"/>
      <c r="BD15" s="399"/>
      <c r="BE15" s="399"/>
      <c r="BF15" s="399"/>
      <c r="BG15" s="399"/>
      <c r="BH15" s="399"/>
      <c r="BI15" s="399"/>
      <c r="BJ15" s="399"/>
      <c r="BK15" s="399"/>
      <c r="BL15" s="399"/>
      <c r="BM15" s="399"/>
      <c r="BN15" s="399"/>
      <c r="BO15" s="400"/>
      <c r="BP15" s="114"/>
      <c r="BQ15" s="115" t="s">
        <v>114</v>
      </c>
    </row>
    <row r="16" spans="1:69" ht="13.5" thickTop="1">
      <c r="A16" s="116" t="s">
        <v>0</v>
      </c>
      <c r="B16" s="117" t="s">
        <v>1</v>
      </c>
      <c r="C16" s="118" t="s">
        <v>2</v>
      </c>
      <c r="D16" s="119" t="s">
        <v>3</v>
      </c>
      <c r="E16" s="121" t="s">
        <v>142</v>
      </c>
      <c r="F16" s="122" t="s">
        <v>6</v>
      </c>
      <c r="G16" s="123" t="s">
        <v>6</v>
      </c>
      <c r="H16" s="94" t="s">
        <v>7</v>
      </c>
      <c r="I16" s="124"/>
      <c r="J16" s="94" t="s">
        <v>4</v>
      </c>
      <c r="K16" s="120" t="s">
        <v>5</v>
      </c>
      <c r="L16" s="125" t="s">
        <v>8</v>
      </c>
      <c r="M16" s="126" t="s">
        <v>9</v>
      </c>
      <c r="N16" s="127" t="s">
        <v>10</v>
      </c>
      <c r="O16" s="355" t="s">
        <v>11</v>
      </c>
      <c r="P16" s="322" t="s">
        <v>12</v>
      </c>
      <c r="Q16" s="122" t="s">
        <v>6</v>
      </c>
      <c r="R16" s="123" t="s">
        <v>6</v>
      </c>
      <c r="S16" s="94" t="s">
        <v>7</v>
      </c>
      <c r="T16" s="129" t="s">
        <v>142</v>
      </c>
      <c r="U16" s="130" t="s">
        <v>156</v>
      </c>
      <c r="V16" s="374" t="s">
        <v>160</v>
      </c>
      <c r="W16" s="131" t="s">
        <v>14</v>
      </c>
      <c r="X16" s="132" t="s">
        <v>9</v>
      </c>
      <c r="Y16" s="125" t="s">
        <v>10</v>
      </c>
      <c r="Z16" s="128" t="s">
        <v>11</v>
      </c>
      <c r="AA16" s="37"/>
      <c r="AB16" s="133"/>
      <c r="AC16" s="37"/>
      <c r="AD16" s="37"/>
      <c r="AM16" s="31" t="s">
        <v>15</v>
      </c>
      <c r="AO16" s="134" t="s">
        <v>16</v>
      </c>
      <c r="AP16" s="134" t="s">
        <v>17</v>
      </c>
      <c r="AQ16" s="110" t="s">
        <v>18</v>
      </c>
      <c r="AR16" s="110" t="s">
        <v>18</v>
      </c>
      <c r="AS16" s="135" t="s">
        <v>18</v>
      </c>
      <c r="AT16" s="135" t="s">
        <v>19</v>
      </c>
      <c r="AU16" s="110" t="s">
        <v>20</v>
      </c>
      <c r="AW16" s="83" t="s">
        <v>21</v>
      </c>
      <c r="AX16" s="84"/>
      <c r="AY16" s="136"/>
      <c r="AZ16" s="113"/>
      <c r="BA16" s="87"/>
      <c r="BB16" s="137" t="s">
        <v>0</v>
      </c>
      <c r="BC16" s="138" t="s">
        <v>22</v>
      </c>
      <c r="BD16" s="139" t="s">
        <v>23</v>
      </c>
      <c r="BE16" s="140" t="s">
        <v>24</v>
      </c>
      <c r="BF16" s="141" t="s">
        <v>25</v>
      </c>
      <c r="BG16" s="142" t="s">
        <v>26</v>
      </c>
      <c r="BH16" s="143"/>
      <c r="BI16" s="144" t="s">
        <v>27</v>
      </c>
      <c r="BJ16" s="145" t="s">
        <v>28</v>
      </c>
      <c r="BK16" s="146"/>
      <c r="BL16" s="147" t="s">
        <v>29</v>
      </c>
      <c r="BM16" s="146"/>
      <c r="BN16" s="146"/>
      <c r="BO16" s="148" t="s">
        <v>8</v>
      </c>
      <c r="BP16" s="149" t="s">
        <v>158</v>
      </c>
      <c r="BQ16" s="150" t="s">
        <v>113</v>
      </c>
    </row>
    <row r="17" spans="1:69" ht="16.5" thickBot="1">
      <c r="A17" s="330" t="s">
        <v>30</v>
      </c>
      <c r="B17" s="331"/>
      <c r="C17" s="332" t="s">
        <v>31</v>
      </c>
      <c r="D17" s="333" t="s">
        <v>32</v>
      </c>
      <c r="E17" s="334" t="s">
        <v>34</v>
      </c>
      <c r="F17" s="335" t="s">
        <v>35</v>
      </c>
      <c r="G17" s="336" t="s">
        <v>36</v>
      </c>
      <c r="H17" s="337" t="s">
        <v>37</v>
      </c>
      <c r="I17" s="338"/>
      <c r="J17" s="339" t="e">
        <f aca="true" t="shared" si="0" ref="J17:J61">LOG(D17)</f>
        <v>#VALUE!</v>
      </c>
      <c r="K17" s="340" t="s">
        <v>33</v>
      </c>
      <c r="L17" s="333" t="s">
        <v>38</v>
      </c>
      <c r="M17" s="341" t="s">
        <v>39</v>
      </c>
      <c r="N17" s="342"/>
      <c r="O17" s="356" t="s">
        <v>38</v>
      </c>
      <c r="P17" s="344" t="s">
        <v>38</v>
      </c>
      <c r="Q17" s="335" t="s">
        <v>35</v>
      </c>
      <c r="R17" s="345" t="s">
        <v>36</v>
      </c>
      <c r="S17" s="346" t="s">
        <v>37</v>
      </c>
      <c r="T17" s="347" t="s">
        <v>32</v>
      </c>
      <c r="U17" s="348" t="s">
        <v>155</v>
      </c>
      <c r="V17" s="375"/>
      <c r="W17" s="343" t="s">
        <v>38</v>
      </c>
      <c r="X17" s="349" t="s">
        <v>39</v>
      </c>
      <c r="Y17" s="343"/>
      <c r="Z17" s="343" t="s">
        <v>38</v>
      </c>
      <c r="AA17" s="37"/>
      <c r="AB17" s="133"/>
      <c r="AC17" s="37"/>
      <c r="AD17" s="37"/>
      <c r="AO17" s="169" t="s">
        <v>34</v>
      </c>
      <c r="AP17" s="169" t="s">
        <v>34</v>
      </c>
      <c r="AQ17" s="169" t="s">
        <v>40</v>
      </c>
      <c r="AR17" s="169" t="s">
        <v>41</v>
      </c>
      <c r="AS17" s="170" t="s">
        <v>42</v>
      </c>
      <c r="AT17" s="170"/>
      <c r="AU17" s="169" t="s">
        <v>19</v>
      </c>
      <c r="AW17" s="171" t="s">
        <v>43</v>
      </c>
      <c r="AX17" s="171" t="s">
        <v>44</v>
      </c>
      <c r="AY17" s="172" t="s">
        <v>45</v>
      </c>
      <c r="AZ17" s="173" t="s">
        <v>46</v>
      </c>
      <c r="BA17" s="87" t="s">
        <v>47</v>
      </c>
      <c r="BB17" s="174" t="s">
        <v>30</v>
      </c>
      <c r="BC17" s="175"/>
      <c r="BD17" s="176" t="s">
        <v>31</v>
      </c>
      <c r="BE17" s="177" t="s">
        <v>48</v>
      </c>
      <c r="BF17" s="178" t="s">
        <v>48</v>
      </c>
      <c r="BG17" s="179" t="s">
        <v>43</v>
      </c>
      <c r="BH17" s="180"/>
      <c r="BI17" s="181" t="s">
        <v>48</v>
      </c>
      <c r="BJ17" s="182" t="s">
        <v>43</v>
      </c>
      <c r="BK17" s="183"/>
      <c r="BL17" s="184" t="s">
        <v>49</v>
      </c>
      <c r="BM17" s="183"/>
      <c r="BN17" s="183"/>
      <c r="BO17" s="185" t="s">
        <v>50</v>
      </c>
      <c r="BP17" s="364" t="s">
        <v>50</v>
      </c>
      <c r="BQ17" s="186" t="s">
        <v>115</v>
      </c>
    </row>
    <row r="18" spans="1:69" ht="15">
      <c r="A18" s="33">
        <v>4</v>
      </c>
      <c r="B18" s="187" t="s">
        <v>51</v>
      </c>
      <c r="C18" s="188">
        <f aca="true" t="shared" si="1" ref="C18:C62">C19/Frequency_multiplier</f>
        <v>30.399106877256997</v>
      </c>
      <c r="D18" s="189"/>
      <c r="E18" s="190"/>
      <c r="G18" s="191" t="e">
        <f aca="true" t="shared" si="2" ref="G18:G81">VLOOKUP(F18,$AW$18:$AZ$38,2)</f>
        <v>#N/A</v>
      </c>
      <c r="H18" s="24" t="e">
        <f>VLOOKUP(F18,$AW$19:$AZ$39,4)</f>
        <v>#N/A</v>
      </c>
      <c r="I18" s="192" t="e">
        <f aca="true" t="shared" si="3" ref="I18:I49">(H18*PI())/(9.81*10^12)</f>
        <v>#N/A</v>
      </c>
      <c r="J18" s="222" t="e">
        <f t="shared" si="0"/>
        <v>#NUM!</v>
      </c>
      <c r="K18" s="24" t="e">
        <f>LOG(16*D42)</f>
        <v>#NUM!</v>
      </c>
      <c r="L18" s="193" t="e">
        <f aca="true" t="shared" si="4" ref="L18:L81">IF(F18="c",BO18,(C18*D18*E18)^2*I18)</f>
        <v>#N/A</v>
      </c>
      <c r="M18" s="194">
        <v>0</v>
      </c>
      <c r="N18" s="195" t="e">
        <f aca="true" t="shared" si="5" ref="N18:N49">M18*L18</f>
        <v>#N/A</v>
      </c>
      <c r="O18" s="363">
        <f aca="true" t="shared" si="6" ref="O18:O24">IF(F18=1,VLOOKUP(E18,$AP$18:$AU$47,2),IF(F18=1.2,VLOOKUP(E18,$AP$18:$AU$47,3),IF(F18=1.3,VLOOKUP(E18,$AP$18:$AU$47,4),IF(F18=2,VLOOKUP(E18,$AP$18:$AU$47,5),IF(F18=3,VLOOKUP(E18,$AP$18:$AU$47,6),0)))))</f>
        <v>0</v>
      </c>
      <c r="P18" s="221"/>
      <c r="R18" s="191" t="e">
        <f aca="true" t="shared" si="7" ref="R18:R49">VLOOKUP(Q18,$AW$18:$AZ$38,2)</f>
        <v>#N/A</v>
      </c>
      <c r="S18" s="24" t="e">
        <f aca="true" t="shared" si="8" ref="S18:S49">VLOOKUP(Q18,$AW$19:$AZ$38,4)</f>
        <v>#N/A</v>
      </c>
      <c r="T18" s="25" t="e">
        <f aca="true" t="shared" si="9" ref="T18:T81">SQRT(P18/((PI()*S18)/(9.81*10^12)*(C18*D18)^2))</f>
        <v>#N/A</v>
      </c>
      <c r="U18" s="394" t="e">
        <f aca="true" t="shared" si="10" ref="U18:U49">IF(Q18&gt;14,VLOOKUP(T18,$AO$53:$AS$71,2),VLOOKUP(T18,$AO$18:$AP$47,2))</f>
        <v>#N/A</v>
      </c>
      <c r="V18" s="198" t="e">
        <f aca="true" t="shared" si="11" ref="V18:V24">(C18*D18*U18)^2*(S18*PI())/(9.81*10^12)</f>
        <v>#N/A</v>
      </c>
      <c r="W18" s="198" t="e">
        <f aca="true" t="shared" si="12" ref="W18:W24">IF(Q18=0,BO18,V18)</f>
        <v>#DIV/0!</v>
      </c>
      <c r="X18" s="199"/>
      <c r="Y18" s="198" t="e">
        <f aca="true" t="shared" si="13" ref="Y18:Y49">X18*W18</f>
        <v>#DIV/0!</v>
      </c>
      <c r="Z18" s="196">
        <f>IF(Q18=1,VLOOKUP(U18,$AP$18:$AU$47,2),IF(Q18=1.2,VLOOKUP(U18,$AP$18:$AU$47,3),IF(Q18=1.3,VLOOKUP(U18,$AP$18:$AU$47,4),IF(Q18=2,VLOOKUP(U18,$AP$18:$AU$47,5),IF(Q18=3,VLOOKUP(U18,$AP$18:$AU$47,6),0)))))</f>
        <v>0</v>
      </c>
      <c r="AO18" s="200"/>
      <c r="AP18" s="37">
        <v>0.15</v>
      </c>
      <c r="AQ18" s="37"/>
      <c r="AR18" s="37"/>
      <c r="AS18" s="37"/>
      <c r="AT18" s="37"/>
      <c r="AU18" s="43"/>
      <c r="AW18" s="201" t="s">
        <v>137</v>
      </c>
      <c r="AX18" s="201"/>
      <c r="AY18" s="202" t="s">
        <v>52</v>
      </c>
      <c r="AZ18" s="203"/>
      <c r="BA18" s="87"/>
      <c r="BB18" s="204">
        <f aca="true" t="shared" si="14" ref="BB18:BB41">$A18</f>
        <v>4</v>
      </c>
      <c r="BC18" s="205" t="str">
        <f aca="true" t="shared" si="15" ref="BC18:BC41">$B18</f>
        <v>CC</v>
      </c>
      <c r="BD18" s="206">
        <f aca="true" t="shared" si="16" ref="BD18:BD41">C18</f>
        <v>30.399106877256997</v>
      </c>
      <c r="BE18" s="207">
        <f aca="true" t="shared" si="17" ref="BE18:BE41">$D18</f>
        <v>0</v>
      </c>
      <c r="BF18" s="208"/>
      <c r="BG18" s="209">
        <v>2</v>
      </c>
      <c r="BH18" s="210">
        <f aca="true" t="shared" si="18" ref="BH18:BH41">VLOOKUP(BG18,$AW$19:$AZ$38,4)</f>
        <v>8536</v>
      </c>
      <c r="BI18" s="211"/>
      <c r="BJ18" s="212">
        <v>5</v>
      </c>
      <c r="BK18" s="210">
        <f aca="true" t="shared" si="19" ref="BK18:BK41">VLOOKUP(BJ18,$AW$19:$AZ$38,4)</f>
        <v>8730</v>
      </c>
      <c r="BL18" s="213"/>
      <c r="BM18" s="214" t="e">
        <f aca="true" t="shared" si="20" ref="BM18:BM41">SQRT(1+(PI()^2*(BF18+BI18)^2)/BL18^2)</f>
        <v>#DIV/0!</v>
      </c>
      <c r="BN18" s="214" t="e">
        <f aca="true" t="shared" si="21" ref="BN18:BN41">(BF18^2*BH18)+BI18^2*BK18*BM18</f>
        <v>#DIV/0!</v>
      </c>
      <c r="BO18" s="215" t="e">
        <f aca="true" t="shared" si="22" ref="BO18:BO41">(BD18^2*BE18^2*PI()/(9.81*10^12))*BN18</f>
        <v>#DIV/0!</v>
      </c>
      <c r="BP18" s="216"/>
      <c r="BQ18" s="217"/>
    </row>
    <row r="19" spans="1:69" ht="15">
      <c r="A19" s="33">
        <v>5</v>
      </c>
      <c r="B19" s="187" t="s">
        <v>53</v>
      </c>
      <c r="C19" s="188">
        <f t="shared" si="1"/>
        <v>32.20673183793763</v>
      </c>
      <c r="D19" s="189"/>
      <c r="E19" s="190"/>
      <c r="G19" s="191" t="e">
        <f t="shared" si="2"/>
        <v>#N/A</v>
      </c>
      <c r="H19" s="24" t="e">
        <f aca="true" t="shared" si="23" ref="H19:H82">VLOOKUP(F19,$AW$19:$AZ$39,4)</f>
        <v>#N/A</v>
      </c>
      <c r="I19" s="218" t="e">
        <f t="shared" si="3"/>
        <v>#N/A</v>
      </c>
      <c r="J19" s="222" t="e">
        <f t="shared" si="0"/>
        <v>#NUM!</v>
      </c>
      <c r="K19" s="24"/>
      <c r="L19" s="193" t="e">
        <f t="shared" si="4"/>
        <v>#N/A</v>
      </c>
      <c r="M19" s="194">
        <v>0</v>
      </c>
      <c r="N19" s="195" t="e">
        <f t="shared" si="5"/>
        <v>#N/A</v>
      </c>
      <c r="O19" s="363">
        <f t="shared" si="6"/>
        <v>0</v>
      </c>
      <c r="P19" s="221"/>
      <c r="R19" s="191" t="e">
        <f t="shared" si="7"/>
        <v>#N/A</v>
      </c>
      <c r="S19" s="24" t="e">
        <f t="shared" si="8"/>
        <v>#N/A</v>
      </c>
      <c r="T19" s="25" t="e">
        <f t="shared" si="9"/>
        <v>#N/A</v>
      </c>
      <c r="U19" s="394" t="e">
        <f t="shared" si="10"/>
        <v>#N/A</v>
      </c>
      <c r="V19" s="198" t="e">
        <f t="shared" si="11"/>
        <v>#N/A</v>
      </c>
      <c r="W19" s="198" t="e">
        <f t="shared" si="12"/>
        <v>#DIV/0!</v>
      </c>
      <c r="X19" s="199"/>
      <c r="Y19" s="198" t="e">
        <f t="shared" si="13"/>
        <v>#DIV/0!</v>
      </c>
      <c r="Z19" s="196">
        <f aca="true" t="shared" si="24" ref="Z19:Z82">IF(Q19=1,VLOOKUP(U19,$AP$18:$AU$47,2),IF(Q19=1.2,VLOOKUP(U19,$AP$18:$AU$47,3),IF(Q19=1.3,VLOOKUP(U19,$AP$18:$AU$47,4),IF(Q19=2,VLOOKUP(U19,$AP$18:$AU$47,5),IF(Q19=3,VLOOKUP(U19,$AP$18:$AU$47,6),0)))))</f>
        <v>0</v>
      </c>
      <c r="AO19" s="200">
        <v>0.155</v>
      </c>
      <c r="AP19" s="37">
        <v>0.16</v>
      </c>
      <c r="AQ19" s="37"/>
      <c r="AR19" s="37"/>
      <c r="AS19" s="37"/>
      <c r="AT19" s="37"/>
      <c r="AU19" s="43"/>
      <c r="AW19" s="219">
        <v>1</v>
      </c>
      <c r="AX19" s="219">
        <v>0.5</v>
      </c>
      <c r="AY19" s="220" t="s">
        <v>54</v>
      </c>
      <c r="AZ19" s="43">
        <v>7769</v>
      </c>
      <c r="BA19" s="87"/>
      <c r="BB19" s="204">
        <f t="shared" si="14"/>
        <v>5</v>
      </c>
      <c r="BC19" s="205" t="str">
        <f t="shared" si="15"/>
        <v>CC #</v>
      </c>
      <c r="BD19" s="206">
        <f t="shared" si="16"/>
        <v>32.20673183793763</v>
      </c>
      <c r="BE19" s="207">
        <f t="shared" si="17"/>
        <v>0</v>
      </c>
      <c r="BF19" s="208"/>
      <c r="BG19" s="209">
        <v>2</v>
      </c>
      <c r="BH19" s="210">
        <f t="shared" si="18"/>
        <v>8536</v>
      </c>
      <c r="BI19" s="211"/>
      <c r="BJ19" s="212">
        <v>5</v>
      </c>
      <c r="BK19" s="210">
        <f t="shared" si="19"/>
        <v>8730</v>
      </c>
      <c r="BL19" s="213"/>
      <c r="BM19" s="214" t="e">
        <f t="shared" si="20"/>
        <v>#DIV/0!</v>
      </c>
      <c r="BN19" s="214" t="e">
        <f t="shared" si="21"/>
        <v>#DIV/0!</v>
      </c>
      <c r="BO19" s="215" t="e">
        <f t="shared" si="22"/>
        <v>#DIV/0!</v>
      </c>
      <c r="BP19" s="216"/>
      <c r="BQ19" s="217"/>
    </row>
    <row r="20" spans="1:69" ht="15">
      <c r="A20" s="33">
        <v>6</v>
      </c>
      <c r="B20" s="187" t="s">
        <v>55</v>
      </c>
      <c r="C20" s="188">
        <f t="shared" si="1"/>
        <v>34.12184377222144</v>
      </c>
      <c r="D20" s="189"/>
      <c r="E20" s="221"/>
      <c r="G20" s="191" t="e">
        <f t="shared" si="2"/>
        <v>#N/A</v>
      </c>
      <c r="H20" s="24" t="e">
        <f t="shared" si="23"/>
        <v>#N/A</v>
      </c>
      <c r="I20" s="218" t="e">
        <f t="shared" si="3"/>
        <v>#N/A</v>
      </c>
      <c r="J20" s="222" t="e">
        <f t="shared" si="0"/>
        <v>#NUM!</v>
      </c>
      <c r="K20" s="24"/>
      <c r="L20" s="193" t="e">
        <f t="shared" si="4"/>
        <v>#N/A</v>
      </c>
      <c r="M20" s="194">
        <v>0</v>
      </c>
      <c r="N20" s="195" t="e">
        <f t="shared" si="5"/>
        <v>#N/A</v>
      </c>
      <c r="O20" s="363">
        <f t="shared" si="6"/>
        <v>0</v>
      </c>
      <c r="P20" s="221"/>
      <c r="R20" s="191" t="e">
        <f t="shared" si="7"/>
        <v>#N/A</v>
      </c>
      <c r="S20" s="24" t="e">
        <f t="shared" si="8"/>
        <v>#N/A</v>
      </c>
      <c r="T20" s="25" t="e">
        <f t="shared" si="9"/>
        <v>#N/A</v>
      </c>
      <c r="U20" s="394" t="e">
        <f t="shared" si="10"/>
        <v>#N/A</v>
      </c>
      <c r="V20" s="198" t="e">
        <f t="shared" si="11"/>
        <v>#N/A</v>
      </c>
      <c r="W20" s="198" t="e">
        <f t="shared" si="12"/>
        <v>#DIV/0!</v>
      </c>
      <c r="X20" s="199"/>
      <c r="Y20" s="198" t="e">
        <f t="shared" si="13"/>
        <v>#DIV/0!</v>
      </c>
      <c r="Z20" s="196">
        <f t="shared" si="24"/>
        <v>0</v>
      </c>
      <c r="AO20" s="200">
        <v>0.165</v>
      </c>
      <c r="AP20" s="37">
        <v>0.17</v>
      </c>
      <c r="AQ20" s="37"/>
      <c r="AR20" s="37"/>
      <c r="AS20" s="37"/>
      <c r="AT20" s="37"/>
      <c r="AU20" s="43"/>
      <c r="AW20" s="219">
        <v>2</v>
      </c>
      <c r="AX20" s="219">
        <v>1</v>
      </c>
      <c r="AY20" s="220" t="s">
        <v>56</v>
      </c>
      <c r="AZ20" s="43">
        <v>8536</v>
      </c>
      <c r="BA20" s="87"/>
      <c r="BB20" s="204">
        <f t="shared" si="14"/>
        <v>6</v>
      </c>
      <c r="BC20" s="205" t="str">
        <f t="shared" si="15"/>
        <v>DD</v>
      </c>
      <c r="BD20" s="206">
        <f t="shared" si="16"/>
        <v>34.12184377222144</v>
      </c>
      <c r="BE20" s="207">
        <f t="shared" si="17"/>
        <v>0</v>
      </c>
      <c r="BF20" s="208"/>
      <c r="BG20" s="209">
        <v>2</v>
      </c>
      <c r="BH20" s="210">
        <f t="shared" si="18"/>
        <v>8536</v>
      </c>
      <c r="BI20" s="211"/>
      <c r="BJ20" s="212">
        <v>5</v>
      </c>
      <c r="BK20" s="210">
        <f t="shared" si="19"/>
        <v>8730</v>
      </c>
      <c r="BL20" s="213"/>
      <c r="BM20" s="214" t="e">
        <f t="shared" si="20"/>
        <v>#DIV/0!</v>
      </c>
      <c r="BN20" s="214" t="e">
        <f t="shared" si="21"/>
        <v>#DIV/0!</v>
      </c>
      <c r="BO20" s="215" t="e">
        <f t="shared" si="22"/>
        <v>#DIV/0!</v>
      </c>
      <c r="BP20" s="216"/>
      <c r="BQ20" s="217"/>
    </row>
    <row r="21" spans="1:69" ht="15">
      <c r="A21" s="33">
        <v>7</v>
      </c>
      <c r="B21" s="187" t="s">
        <v>57</v>
      </c>
      <c r="C21" s="188">
        <f t="shared" si="1"/>
        <v>36.15083418816217</v>
      </c>
      <c r="D21" s="189"/>
      <c r="E21" s="190"/>
      <c r="G21" s="191" t="e">
        <f t="shared" si="2"/>
        <v>#N/A</v>
      </c>
      <c r="H21" s="24" t="e">
        <f t="shared" si="23"/>
        <v>#N/A</v>
      </c>
      <c r="I21" s="218" t="e">
        <f t="shared" si="3"/>
        <v>#N/A</v>
      </c>
      <c r="J21" s="222" t="e">
        <f t="shared" si="0"/>
        <v>#NUM!</v>
      </c>
      <c r="K21" s="24"/>
      <c r="L21" s="193" t="e">
        <f t="shared" si="4"/>
        <v>#N/A</v>
      </c>
      <c r="M21" s="194">
        <v>0</v>
      </c>
      <c r="N21" s="195" t="e">
        <f t="shared" si="5"/>
        <v>#N/A</v>
      </c>
      <c r="O21" s="363">
        <f t="shared" si="6"/>
        <v>0</v>
      </c>
      <c r="P21" s="221"/>
      <c r="R21" s="191" t="e">
        <f t="shared" si="7"/>
        <v>#N/A</v>
      </c>
      <c r="S21" s="24" t="e">
        <f t="shared" si="8"/>
        <v>#N/A</v>
      </c>
      <c r="T21" s="25" t="e">
        <f t="shared" si="9"/>
        <v>#N/A</v>
      </c>
      <c r="U21" s="394" t="e">
        <f t="shared" si="10"/>
        <v>#N/A</v>
      </c>
      <c r="V21" s="198" t="e">
        <f t="shared" si="11"/>
        <v>#N/A</v>
      </c>
      <c r="W21" s="198" t="e">
        <f t="shared" si="12"/>
        <v>#DIV/0!</v>
      </c>
      <c r="X21" s="199"/>
      <c r="Y21" s="198" t="e">
        <f t="shared" si="13"/>
        <v>#DIV/0!</v>
      </c>
      <c r="Z21" s="196">
        <f t="shared" si="24"/>
        <v>0</v>
      </c>
      <c r="AO21" s="200">
        <v>0.18</v>
      </c>
      <c r="AP21" s="37">
        <v>0.19</v>
      </c>
      <c r="AQ21" s="37">
        <v>3.1</v>
      </c>
      <c r="AR21" s="37"/>
      <c r="AS21" s="37"/>
      <c r="AT21" s="37">
        <v>2.3</v>
      </c>
      <c r="AU21" s="43"/>
      <c r="AW21" s="219">
        <v>3</v>
      </c>
      <c r="AX21" s="219">
        <v>1.5</v>
      </c>
      <c r="AY21" s="220" t="s">
        <v>58</v>
      </c>
      <c r="AZ21" s="43">
        <v>8769</v>
      </c>
      <c r="BA21" s="87"/>
      <c r="BB21" s="204">
        <f t="shared" si="14"/>
        <v>7</v>
      </c>
      <c r="BC21" s="205" t="str">
        <f t="shared" si="15"/>
        <v>DD #</v>
      </c>
      <c r="BD21" s="206">
        <f t="shared" si="16"/>
        <v>36.15083418816217</v>
      </c>
      <c r="BE21" s="207">
        <f t="shared" si="17"/>
        <v>0</v>
      </c>
      <c r="BF21" s="208"/>
      <c r="BG21" s="209">
        <v>2</v>
      </c>
      <c r="BH21" s="210">
        <f t="shared" si="18"/>
        <v>8536</v>
      </c>
      <c r="BI21" s="211"/>
      <c r="BJ21" s="212">
        <v>5</v>
      </c>
      <c r="BK21" s="210">
        <f t="shared" si="19"/>
        <v>8730</v>
      </c>
      <c r="BL21" s="213"/>
      <c r="BM21" s="214" t="e">
        <f t="shared" si="20"/>
        <v>#DIV/0!</v>
      </c>
      <c r="BN21" s="214" t="e">
        <f t="shared" si="21"/>
        <v>#DIV/0!</v>
      </c>
      <c r="BO21" s="215" t="e">
        <f t="shared" si="22"/>
        <v>#DIV/0!</v>
      </c>
      <c r="BP21" s="216"/>
      <c r="BQ21" s="217"/>
    </row>
    <row r="22" spans="1:69" s="37" customFormat="1" ht="15">
      <c r="A22" s="233">
        <v>8</v>
      </c>
      <c r="B22" s="234" t="s">
        <v>59</v>
      </c>
      <c r="C22" s="235">
        <f t="shared" si="1"/>
        <v>38.3004746526601</v>
      </c>
      <c r="D22" s="189"/>
      <c r="E22" s="190"/>
      <c r="G22" s="191" t="e">
        <f t="shared" si="2"/>
        <v>#N/A</v>
      </c>
      <c r="H22" s="24" t="e">
        <f t="shared" si="23"/>
        <v>#N/A</v>
      </c>
      <c r="I22" s="218" t="e">
        <f t="shared" si="3"/>
        <v>#N/A</v>
      </c>
      <c r="J22" s="222" t="e">
        <f t="shared" si="0"/>
        <v>#NUM!</v>
      </c>
      <c r="K22" s="24"/>
      <c r="L22" s="193" t="e">
        <f t="shared" si="4"/>
        <v>#N/A</v>
      </c>
      <c r="M22" s="194"/>
      <c r="N22" s="195" t="e">
        <f t="shared" si="5"/>
        <v>#N/A</v>
      </c>
      <c r="O22" s="363">
        <f t="shared" si="6"/>
        <v>0</v>
      </c>
      <c r="P22" s="221"/>
      <c r="Q22" s="33"/>
      <c r="R22" s="191" t="e">
        <f t="shared" si="7"/>
        <v>#N/A</v>
      </c>
      <c r="S22" s="24" t="e">
        <f t="shared" si="8"/>
        <v>#N/A</v>
      </c>
      <c r="T22" s="25" t="e">
        <f t="shared" si="9"/>
        <v>#N/A</v>
      </c>
      <c r="U22" s="394" t="e">
        <f t="shared" si="10"/>
        <v>#N/A</v>
      </c>
      <c r="V22" s="198" t="e">
        <f t="shared" si="11"/>
        <v>#N/A</v>
      </c>
      <c r="W22" s="198" t="e">
        <f t="shared" si="12"/>
        <v>#DIV/0!</v>
      </c>
      <c r="X22" s="199"/>
      <c r="Y22" s="198" t="e">
        <f t="shared" si="13"/>
        <v>#DIV/0!</v>
      </c>
      <c r="Z22" s="196">
        <f t="shared" si="24"/>
        <v>0</v>
      </c>
      <c r="AB22" s="133"/>
      <c r="AO22" s="200">
        <v>0.2</v>
      </c>
      <c r="AP22" s="37">
        <v>0.21</v>
      </c>
      <c r="AQ22" s="37">
        <v>3.7</v>
      </c>
      <c r="AT22" s="37">
        <v>2.8</v>
      </c>
      <c r="AU22" s="43"/>
      <c r="AW22" s="224">
        <v>4</v>
      </c>
      <c r="AX22" s="224"/>
      <c r="AY22" s="225" t="s">
        <v>60</v>
      </c>
      <c r="AZ22" s="226">
        <v>8890</v>
      </c>
      <c r="BA22" s="273"/>
      <c r="BB22" s="204">
        <f t="shared" si="14"/>
        <v>8</v>
      </c>
      <c r="BC22" s="205" t="str">
        <f t="shared" si="15"/>
        <v>EE</v>
      </c>
      <c r="BD22" s="206">
        <f t="shared" si="16"/>
        <v>38.3004746526601</v>
      </c>
      <c r="BE22" s="207">
        <f t="shared" si="17"/>
        <v>0</v>
      </c>
      <c r="BF22" s="208"/>
      <c r="BG22" s="209">
        <v>2</v>
      </c>
      <c r="BH22" s="210">
        <f t="shared" si="18"/>
        <v>8536</v>
      </c>
      <c r="BI22" s="211"/>
      <c r="BJ22" s="209">
        <v>5</v>
      </c>
      <c r="BK22" s="210">
        <f t="shared" si="19"/>
        <v>8730</v>
      </c>
      <c r="BL22" s="213"/>
      <c r="BM22" s="214" t="e">
        <f t="shared" si="20"/>
        <v>#DIV/0!</v>
      </c>
      <c r="BN22" s="214" t="e">
        <f t="shared" si="21"/>
        <v>#DIV/0!</v>
      </c>
      <c r="BO22" s="215" t="e">
        <f t="shared" si="22"/>
        <v>#DIV/0!</v>
      </c>
      <c r="BP22" s="216"/>
      <c r="BQ22" s="150"/>
    </row>
    <row r="23" spans="1:69" ht="15">
      <c r="A23" s="33">
        <v>9</v>
      </c>
      <c r="B23" s="187" t="s">
        <v>61</v>
      </c>
      <c r="C23" s="188">
        <f t="shared" si="1"/>
        <v>40.577939390937026</v>
      </c>
      <c r="D23" s="227"/>
      <c r="E23" s="223"/>
      <c r="G23" s="191" t="e">
        <f t="shared" si="2"/>
        <v>#N/A</v>
      </c>
      <c r="H23" s="24" t="e">
        <f t="shared" si="23"/>
        <v>#N/A</v>
      </c>
      <c r="I23" s="218" t="e">
        <f t="shared" si="3"/>
        <v>#N/A</v>
      </c>
      <c r="J23" s="222" t="e">
        <f t="shared" si="0"/>
        <v>#NUM!</v>
      </c>
      <c r="K23" s="24"/>
      <c r="L23" s="193" t="e">
        <f t="shared" si="4"/>
        <v>#N/A</v>
      </c>
      <c r="M23" s="194"/>
      <c r="N23" s="195" t="e">
        <f t="shared" si="5"/>
        <v>#N/A</v>
      </c>
      <c r="O23" s="363">
        <f t="shared" si="6"/>
        <v>0</v>
      </c>
      <c r="P23" s="221"/>
      <c r="R23" s="191" t="e">
        <f t="shared" si="7"/>
        <v>#N/A</v>
      </c>
      <c r="S23" s="24" t="e">
        <f t="shared" si="8"/>
        <v>#N/A</v>
      </c>
      <c r="T23" s="25" t="e">
        <f t="shared" si="9"/>
        <v>#N/A</v>
      </c>
      <c r="U23" s="394" t="e">
        <f t="shared" si="10"/>
        <v>#N/A</v>
      </c>
      <c r="V23" s="198" t="e">
        <f t="shared" si="11"/>
        <v>#N/A</v>
      </c>
      <c r="W23" s="198" t="e">
        <f t="shared" si="12"/>
        <v>#DIV/0!</v>
      </c>
      <c r="X23" s="199"/>
      <c r="Y23" s="198" t="e">
        <f t="shared" si="13"/>
        <v>#DIV/0!</v>
      </c>
      <c r="Z23" s="196">
        <f t="shared" si="24"/>
        <v>0</v>
      </c>
      <c r="AO23" s="200">
        <v>0.22</v>
      </c>
      <c r="AP23" s="37">
        <v>0.23</v>
      </c>
      <c r="AQ23" s="37">
        <v>4.3</v>
      </c>
      <c r="AR23" s="37"/>
      <c r="AS23" s="37"/>
      <c r="AT23" s="37">
        <v>3.2</v>
      </c>
      <c r="AU23" s="43"/>
      <c r="AW23" s="224">
        <v>5</v>
      </c>
      <c r="AX23" s="224"/>
      <c r="AY23" s="225" t="s">
        <v>62</v>
      </c>
      <c r="AZ23" s="226">
        <v>8730</v>
      </c>
      <c r="BA23" s="87"/>
      <c r="BB23" s="204">
        <f t="shared" si="14"/>
        <v>9</v>
      </c>
      <c r="BC23" s="205" t="str">
        <f t="shared" si="15"/>
        <v>FF</v>
      </c>
      <c r="BD23" s="206">
        <f t="shared" si="16"/>
        <v>40.577939390937026</v>
      </c>
      <c r="BE23" s="207">
        <f t="shared" si="17"/>
        <v>0</v>
      </c>
      <c r="BF23" s="208"/>
      <c r="BG23" s="209">
        <v>2</v>
      </c>
      <c r="BH23" s="210">
        <f t="shared" si="18"/>
        <v>8536</v>
      </c>
      <c r="BI23" s="211"/>
      <c r="BJ23" s="209">
        <v>5</v>
      </c>
      <c r="BK23" s="210">
        <f t="shared" si="19"/>
        <v>8730</v>
      </c>
      <c r="BL23" s="213">
        <f>BI23</f>
        <v>0</v>
      </c>
      <c r="BM23" s="214" t="e">
        <f t="shared" si="20"/>
        <v>#DIV/0!</v>
      </c>
      <c r="BN23" s="214" t="e">
        <f t="shared" si="21"/>
        <v>#DIV/0!</v>
      </c>
      <c r="BO23" s="215" t="e">
        <f t="shared" si="22"/>
        <v>#DIV/0!</v>
      </c>
      <c r="BP23" s="216"/>
      <c r="BQ23" s="191">
        <v>0.6</v>
      </c>
    </row>
    <row r="24" spans="1:69" ht="15">
      <c r="A24" s="33">
        <v>10</v>
      </c>
      <c r="B24" s="187" t="s">
        <v>63</v>
      </c>
      <c r="C24" s="188">
        <f t="shared" si="1"/>
        <v>42.99082922984608</v>
      </c>
      <c r="D24" s="227"/>
      <c r="E24" s="223"/>
      <c r="G24" s="191" t="e">
        <f t="shared" si="2"/>
        <v>#N/A</v>
      </c>
      <c r="H24" s="24" t="e">
        <f t="shared" si="23"/>
        <v>#N/A</v>
      </c>
      <c r="I24" s="218" t="e">
        <f t="shared" si="3"/>
        <v>#N/A</v>
      </c>
      <c r="J24" s="222" t="e">
        <f t="shared" si="0"/>
        <v>#NUM!</v>
      </c>
      <c r="K24" s="24"/>
      <c r="L24" s="193" t="e">
        <f t="shared" si="4"/>
        <v>#N/A</v>
      </c>
      <c r="M24" s="194"/>
      <c r="N24" s="195" t="e">
        <f t="shared" si="5"/>
        <v>#N/A</v>
      </c>
      <c r="O24" s="363">
        <f t="shared" si="6"/>
        <v>0</v>
      </c>
      <c r="P24" s="221"/>
      <c r="R24" s="191" t="e">
        <f t="shared" si="7"/>
        <v>#N/A</v>
      </c>
      <c r="S24" s="24" t="e">
        <f t="shared" si="8"/>
        <v>#N/A</v>
      </c>
      <c r="T24" s="25" t="e">
        <f t="shared" si="9"/>
        <v>#N/A</v>
      </c>
      <c r="U24" s="394" t="e">
        <f t="shared" si="10"/>
        <v>#N/A</v>
      </c>
      <c r="V24" s="198" t="e">
        <f t="shared" si="11"/>
        <v>#N/A</v>
      </c>
      <c r="W24" s="198" t="e">
        <f t="shared" si="12"/>
        <v>#DIV/0!</v>
      </c>
      <c r="X24" s="199"/>
      <c r="Y24" s="198" t="e">
        <f t="shared" si="13"/>
        <v>#DIV/0!</v>
      </c>
      <c r="Z24" s="196">
        <f t="shared" si="24"/>
        <v>0</v>
      </c>
      <c r="AO24" s="200">
        <v>0.24</v>
      </c>
      <c r="AP24" s="37">
        <v>0.25</v>
      </c>
      <c r="AQ24" s="37">
        <v>4.9</v>
      </c>
      <c r="AR24" s="37"/>
      <c r="AS24" s="37"/>
      <c r="AT24" s="37">
        <v>3.8</v>
      </c>
      <c r="AU24" s="43"/>
      <c r="AW24" s="224">
        <v>6</v>
      </c>
      <c r="AX24" s="224"/>
      <c r="AY24" s="225" t="s">
        <v>64</v>
      </c>
      <c r="AZ24" s="226">
        <v>9051</v>
      </c>
      <c r="BA24" s="87"/>
      <c r="BB24" s="204">
        <f t="shared" si="14"/>
        <v>10</v>
      </c>
      <c r="BC24" s="205" t="str">
        <f t="shared" si="15"/>
        <v>FF #</v>
      </c>
      <c r="BD24" s="206">
        <f t="shared" si="16"/>
        <v>42.99082922984608</v>
      </c>
      <c r="BE24" s="207">
        <f t="shared" si="17"/>
        <v>0</v>
      </c>
      <c r="BF24" s="208"/>
      <c r="BG24" s="209">
        <v>2</v>
      </c>
      <c r="BH24" s="210">
        <f t="shared" si="18"/>
        <v>8536</v>
      </c>
      <c r="BI24" s="211"/>
      <c r="BJ24" s="209">
        <v>5</v>
      </c>
      <c r="BK24" s="210">
        <f t="shared" si="19"/>
        <v>8730</v>
      </c>
      <c r="BL24" s="213">
        <f>BI24</f>
        <v>0</v>
      </c>
      <c r="BM24" s="214" t="e">
        <f t="shared" si="20"/>
        <v>#DIV/0!</v>
      </c>
      <c r="BN24" s="214" t="e">
        <f t="shared" si="21"/>
        <v>#DIV/0!</v>
      </c>
      <c r="BO24" s="215" t="e">
        <f t="shared" si="22"/>
        <v>#DIV/0!</v>
      </c>
      <c r="BP24" s="216"/>
      <c r="BQ24" s="191">
        <v>0.56</v>
      </c>
    </row>
    <row r="25" spans="1:69" ht="15">
      <c r="A25" s="33">
        <v>11</v>
      </c>
      <c r="B25" s="187" t="s">
        <v>65</v>
      </c>
      <c r="C25" s="188">
        <f t="shared" si="1"/>
        <v>45.547196964924765</v>
      </c>
      <c r="D25" s="396"/>
      <c r="E25" s="271"/>
      <c r="F25" s="33"/>
      <c r="G25" s="191" t="e">
        <f t="shared" si="2"/>
        <v>#N/A</v>
      </c>
      <c r="H25" s="24" t="e">
        <f t="shared" si="23"/>
        <v>#N/A</v>
      </c>
      <c r="I25" s="218" t="e">
        <f t="shared" si="3"/>
        <v>#N/A</v>
      </c>
      <c r="J25" s="222" t="e">
        <f t="shared" si="0"/>
        <v>#NUM!</v>
      </c>
      <c r="K25" s="24"/>
      <c r="L25" s="193" t="e">
        <f t="shared" si="4"/>
        <v>#N/A</v>
      </c>
      <c r="M25" s="194">
        <v>2</v>
      </c>
      <c r="N25" s="195" t="e">
        <f t="shared" si="5"/>
        <v>#N/A</v>
      </c>
      <c r="O25" s="363">
        <f>IF(F25=1,VLOOKUP(E25,$AP$18:$AU$47,3),IF(F25=1.2,VLOOKUP(E25,$AP$18:$AU$47,3),IF(F25=1.3,VLOOKUP(E25,$AP$18:$AU$47,4),IF(F25=2,VLOOKUP(E25,$AP$18:$AU$47,5),IF(F25=3,VLOOKUP(E25,$AP$18:$AU$47,6),0)))))</f>
        <v>0</v>
      </c>
      <c r="P25" s="323"/>
      <c r="R25" s="191" t="e">
        <f t="shared" si="7"/>
        <v>#N/A</v>
      </c>
      <c r="S25" s="24" t="e">
        <f t="shared" si="8"/>
        <v>#N/A</v>
      </c>
      <c r="T25" s="25" t="e">
        <f t="shared" si="9"/>
        <v>#N/A</v>
      </c>
      <c r="U25" s="394" t="e">
        <f t="shared" si="10"/>
        <v>#N/A</v>
      </c>
      <c r="V25" s="198" t="e">
        <f>(C25*D25*U25)^2*(S25*PI())/(9.81*10^12)</f>
        <v>#N/A</v>
      </c>
      <c r="W25" s="198" t="e">
        <f>IF(Q25=0,BO25,V25)</f>
        <v>#DIV/0!</v>
      </c>
      <c r="X25" s="199"/>
      <c r="Y25" s="198" t="e">
        <f t="shared" si="13"/>
        <v>#DIV/0!</v>
      </c>
      <c r="Z25" s="189"/>
      <c r="AO25" s="200">
        <v>0.26</v>
      </c>
      <c r="AP25" s="37">
        <v>0.27</v>
      </c>
      <c r="AQ25" s="37">
        <v>5.5</v>
      </c>
      <c r="AR25" s="37"/>
      <c r="AS25" s="37"/>
      <c r="AT25" s="37">
        <v>4.4</v>
      </c>
      <c r="AU25" s="43"/>
      <c r="AW25" s="224">
        <v>7</v>
      </c>
      <c r="AX25" s="224"/>
      <c r="AY25" s="225" t="s">
        <v>66</v>
      </c>
      <c r="AZ25" s="226">
        <v>7300</v>
      </c>
      <c r="BA25" s="87"/>
      <c r="BB25" s="204">
        <f t="shared" si="14"/>
        <v>11</v>
      </c>
      <c r="BC25" s="205" t="str">
        <f t="shared" si="15"/>
        <v>GG</v>
      </c>
      <c r="BD25" s="206">
        <f t="shared" si="16"/>
        <v>45.547196964924765</v>
      </c>
      <c r="BE25" s="207">
        <f t="shared" si="17"/>
        <v>0</v>
      </c>
      <c r="BF25" s="208"/>
      <c r="BG25" s="209">
        <v>2</v>
      </c>
      <c r="BH25" s="210">
        <f t="shared" si="18"/>
        <v>8536</v>
      </c>
      <c r="BI25" s="352"/>
      <c r="BJ25" s="209">
        <v>5</v>
      </c>
      <c r="BK25" s="210">
        <f t="shared" si="19"/>
        <v>8730</v>
      </c>
      <c r="BL25" s="213"/>
      <c r="BM25" s="214" t="e">
        <f t="shared" si="20"/>
        <v>#DIV/0!</v>
      </c>
      <c r="BN25" s="214" t="e">
        <f t="shared" si="21"/>
        <v>#DIV/0!</v>
      </c>
      <c r="BO25" s="215" t="e">
        <f t="shared" si="22"/>
        <v>#DIV/0!</v>
      </c>
      <c r="BP25" s="216">
        <f>$P25</f>
        <v>0</v>
      </c>
      <c r="BQ25" s="191">
        <v>0.52</v>
      </c>
    </row>
    <row r="26" spans="1:69" ht="15">
      <c r="A26" s="33">
        <v>12</v>
      </c>
      <c r="B26" s="187" t="s">
        <v>67</v>
      </c>
      <c r="C26" s="188">
        <f t="shared" si="1"/>
        <v>48.2555742358515</v>
      </c>
      <c r="D26" s="397"/>
      <c r="E26" s="271"/>
      <c r="F26" s="33"/>
      <c r="G26" s="191" t="e">
        <f t="shared" si="2"/>
        <v>#N/A</v>
      </c>
      <c r="H26" s="24" t="e">
        <f t="shared" si="23"/>
        <v>#N/A</v>
      </c>
      <c r="I26" s="218" t="e">
        <f t="shared" si="3"/>
        <v>#N/A</v>
      </c>
      <c r="J26" s="222" t="e">
        <f>LOG(D26)</f>
        <v>#NUM!</v>
      </c>
      <c r="K26" s="24"/>
      <c r="L26" s="193" t="e">
        <f t="shared" si="4"/>
        <v>#N/A</v>
      </c>
      <c r="M26" s="194"/>
      <c r="N26" s="195" t="e">
        <f>M26*L26</f>
        <v>#N/A</v>
      </c>
      <c r="O26" s="363">
        <f aca="true" t="shared" si="25" ref="O26:O83">IF(F26=1,VLOOKUP(E26,$AP$18:$AU$47,3),IF(F26=1.2,VLOOKUP(E26,$AP$18:$AU$47,3),IF(F26=1.3,VLOOKUP(E26,$AP$18:$AU$47,4),IF(F26=2,VLOOKUP(E26,$AP$18:$AU$47,5),IF(F26=3,VLOOKUP(E26,$AP$18:$AU$47,6),0)))))</f>
        <v>0</v>
      </c>
      <c r="P26" s="323"/>
      <c r="R26" s="191" t="e">
        <f t="shared" si="7"/>
        <v>#N/A</v>
      </c>
      <c r="S26" s="24" t="e">
        <f>VLOOKUP(Q26,$AW$19:$AZ$38,4)</f>
        <v>#N/A</v>
      </c>
      <c r="T26" s="25" t="e">
        <f>SQRT(P26/((PI()*S26)/(9.81*10^12)*(C26*D26)^2))</f>
        <v>#N/A</v>
      </c>
      <c r="U26" s="394" t="e">
        <f t="shared" si="10"/>
        <v>#N/A</v>
      </c>
      <c r="V26" s="198" t="e">
        <f aca="true" t="shared" si="26" ref="V26:V83">(C26*D26*U26)^2*(S26*PI())/(9.81*10^12)</f>
        <v>#N/A</v>
      </c>
      <c r="W26" s="198" t="e">
        <f aca="true" t="shared" si="27" ref="W26:W83">IF(Q26=0,BO26,V26)</f>
        <v>#DIV/0!</v>
      </c>
      <c r="X26" s="199"/>
      <c r="Y26" s="198" t="e">
        <f t="shared" si="13"/>
        <v>#DIV/0!</v>
      </c>
      <c r="Z26" s="189"/>
      <c r="AO26" s="200">
        <v>0.285</v>
      </c>
      <c r="AP26" s="37">
        <v>0.3</v>
      </c>
      <c r="AQ26" s="37">
        <v>6.4</v>
      </c>
      <c r="AR26" s="37">
        <v>8.1</v>
      </c>
      <c r="AS26" s="37"/>
      <c r="AT26" s="37">
        <v>5.3</v>
      </c>
      <c r="AU26" s="43"/>
      <c r="AW26" s="224">
        <v>8</v>
      </c>
      <c r="AX26" s="224"/>
      <c r="AY26" s="225" t="s">
        <v>68</v>
      </c>
      <c r="AZ26" s="226">
        <v>10500</v>
      </c>
      <c r="BA26" s="87"/>
      <c r="BB26" s="204">
        <f t="shared" si="14"/>
        <v>12</v>
      </c>
      <c r="BC26" s="205" t="str">
        <f t="shared" si="15"/>
        <v>GG #</v>
      </c>
      <c r="BD26" s="206">
        <f t="shared" si="16"/>
        <v>48.2555742358515</v>
      </c>
      <c r="BE26" s="207">
        <f t="shared" si="17"/>
        <v>0</v>
      </c>
      <c r="BF26" s="208"/>
      <c r="BG26" s="209">
        <v>2</v>
      </c>
      <c r="BH26" s="210">
        <f t="shared" si="18"/>
        <v>8536</v>
      </c>
      <c r="BI26" s="352"/>
      <c r="BJ26" s="209">
        <v>5</v>
      </c>
      <c r="BK26" s="210">
        <f t="shared" si="19"/>
        <v>8730</v>
      </c>
      <c r="BL26" s="213"/>
      <c r="BM26" s="214" t="e">
        <f t="shared" si="20"/>
        <v>#DIV/0!</v>
      </c>
      <c r="BN26" s="214" t="e">
        <f t="shared" si="21"/>
        <v>#DIV/0!</v>
      </c>
      <c r="BO26" s="215" t="e">
        <f t="shared" si="22"/>
        <v>#DIV/0!</v>
      </c>
      <c r="BP26" s="216">
        <f aca="true" t="shared" si="28" ref="BP26:BP40">$P26</f>
        <v>0</v>
      </c>
      <c r="BQ26" s="191">
        <v>0.48</v>
      </c>
    </row>
    <row r="27" spans="1:69" ht="15">
      <c r="A27" s="33">
        <v>13</v>
      </c>
      <c r="B27" s="187" t="s">
        <v>69</v>
      </c>
      <c r="C27" s="188">
        <f t="shared" si="1"/>
        <v>51.124999999999915</v>
      </c>
      <c r="D27" s="396"/>
      <c r="E27" s="271"/>
      <c r="F27" s="33"/>
      <c r="G27" s="191" t="e">
        <f t="shared" si="2"/>
        <v>#N/A</v>
      </c>
      <c r="H27" s="24" t="e">
        <f t="shared" si="23"/>
        <v>#N/A</v>
      </c>
      <c r="I27" s="218" t="e">
        <f t="shared" si="3"/>
        <v>#N/A</v>
      </c>
      <c r="J27" s="222" t="e">
        <f>LOG(D27)</f>
        <v>#NUM!</v>
      </c>
      <c r="K27" s="24"/>
      <c r="L27" s="193" t="e">
        <f>IF(F27="c",BO27,(C27*D27*E27)^2*I27)</f>
        <v>#N/A</v>
      </c>
      <c r="M27" s="194">
        <v>2</v>
      </c>
      <c r="N27" s="195" t="e">
        <f>M27*L27</f>
        <v>#N/A</v>
      </c>
      <c r="O27" s="363">
        <f t="shared" si="25"/>
        <v>0</v>
      </c>
      <c r="P27" s="323"/>
      <c r="R27" s="191" t="e">
        <f t="shared" si="7"/>
        <v>#N/A</v>
      </c>
      <c r="S27" s="24" t="e">
        <f>VLOOKUP(Q27,$AW$19:$AZ$38,4)</f>
        <v>#N/A</v>
      </c>
      <c r="T27" s="25" t="e">
        <f>SQRT(P27/((PI()*S27)/(9.81*10^12)*(C27*D27)^2))</f>
        <v>#N/A</v>
      </c>
      <c r="U27" s="394" t="e">
        <f t="shared" si="10"/>
        <v>#N/A</v>
      </c>
      <c r="V27" s="198" t="e">
        <f t="shared" si="26"/>
        <v>#N/A</v>
      </c>
      <c r="W27" s="198" t="e">
        <f t="shared" si="27"/>
        <v>#DIV/0!</v>
      </c>
      <c r="X27" s="199"/>
      <c r="Y27" s="198" t="e">
        <f t="shared" si="13"/>
        <v>#DIV/0!</v>
      </c>
      <c r="Z27" s="189"/>
      <c r="AO27" s="200">
        <v>0.315</v>
      </c>
      <c r="AP27" s="37">
        <v>0.33</v>
      </c>
      <c r="AQ27" s="37">
        <v>7.4</v>
      </c>
      <c r="AR27" s="37">
        <v>9.3</v>
      </c>
      <c r="AS27" s="37"/>
      <c r="AT27" s="37">
        <v>6.4</v>
      </c>
      <c r="AU27" s="43"/>
      <c r="AW27" s="224">
        <v>9</v>
      </c>
      <c r="AX27" s="224"/>
      <c r="AY27" s="225" t="s">
        <v>70</v>
      </c>
      <c r="AZ27" s="226">
        <v>19300</v>
      </c>
      <c r="BA27" s="87"/>
      <c r="BB27" s="204">
        <f t="shared" si="14"/>
        <v>13</v>
      </c>
      <c r="BC27" s="205" t="str">
        <f t="shared" si="15"/>
        <v>AA</v>
      </c>
      <c r="BD27" s="206">
        <f t="shared" si="16"/>
        <v>51.124999999999915</v>
      </c>
      <c r="BE27" s="207">
        <f t="shared" si="17"/>
        <v>0</v>
      </c>
      <c r="BF27" s="208"/>
      <c r="BG27" s="209">
        <v>2</v>
      </c>
      <c r="BH27" s="210">
        <f t="shared" si="18"/>
        <v>8536</v>
      </c>
      <c r="BI27" s="352"/>
      <c r="BJ27" s="212">
        <v>5</v>
      </c>
      <c r="BK27" s="210">
        <f t="shared" si="19"/>
        <v>8730</v>
      </c>
      <c r="BL27" s="213"/>
      <c r="BM27" s="214" t="e">
        <f t="shared" si="20"/>
        <v>#DIV/0!</v>
      </c>
      <c r="BN27" s="214" t="e">
        <f t="shared" si="21"/>
        <v>#DIV/0!</v>
      </c>
      <c r="BO27" s="215" t="e">
        <f t="shared" si="22"/>
        <v>#DIV/0!</v>
      </c>
      <c r="BP27" s="216">
        <f t="shared" si="28"/>
        <v>0</v>
      </c>
      <c r="BQ27" s="191">
        <v>0.44</v>
      </c>
    </row>
    <row r="28" spans="1:70" ht="15">
      <c r="A28" s="33">
        <v>14</v>
      </c>
      <c r="B28" s="187" t="s">
        <v>71</v>
      </c>
      <c r="C28" s="188">
        <f t="shared" si="1"/>
        <v>54.16505069911888</v>
      </c>
      <c r="D28" s="396"/>
      <c r="E28" s="271"/>
      <c r="F28" s="33"/>
      <c r="G28" s="191" t="e">
        <f t="shared" si="2"/>
        <v>#N/A</v>
      </c>
      <c r="H28" s="24" t="e">
        <f t="shared" si="23"/>
        <v>#N/A</v>
      </c>
      <c r="I28" s="218" t="e">
        <f t="shared" si="3"/>
        <v>#N/A</v>
      </c>
      <c r="J28" s="222" t="e">
        <f aca="true" t="shared" si="29" ref="J28:J33">LOG(D28)</f>
        <v>#NUM!</v>
      </c>
      <c r="K28" s="24"/>
      <c r="L28" s="193" t="e">
        <f aca="true" t="shared" si="30" ref="L28:L33">IF(F28="c",BO28,(C28*D28*E28)^2*I28)</f>
        <v>#N/A</v>
      </c>
      <c r="M28" s="194">
        <v>2</v>
      </c>
      <c r="N28" s="195" t="e">
        <f aca="true" t="shared" si="31" ref="N28:N33">M28*L28</f>
        <v>#N/A</v>
      </c>
      <c r="O28" s="363">
        <f t="shared" si="25"/>
        <v>0</v>
      </c>
      <c r="P28" s="323"/>
      <c r="R28" s="191" t="e">
        <f t="shared" si="7"/>
        <v>#N/A</v>
      </c>
      <c r="S28" s="24" t="e">
        <f aca="true" t="shared" si="32" ref="S28:S33">VLOOKUP(Q28,$AW$19:$AZ$38,4)</f>
        <v>#N/A</v>
      </c>
      <c r="T28" s="25" t="e">
        <f aca="true" t="shared" si="33" ref="T28:T33">SQRT(P28/((PI()*S28)/(9.81*10^12)*(C28*D28)^2))</f>
        <v>#N/A</v>
      </c>
      <c r="U28" s="394" t="e">
        <f t="shared" si="10"/>
        <v>#N/A</v>
      </c>
      <c r="V28" s="198" t="e">
        <f t="shared" si="26"/>
        <v>#N/A</v>
      </c>
      <c r="W28" s="198" t="e">
        <f t="shared" si="27"/>
        <v>#DIV/0!</v>
      </c>
      <c r="X28" s="199"/>
      <c r="Y28" s="198" t="e">
        <f t="shared" si="13"/>
        <v>#DIV/0!</v>
      </c>
      <c r="Z28" s="189"/>
      <c r="AO28" s="200">
        <v>0.345</v>
      </c>
      <c r="AP28" s="37">
        <v>0.36</v>
      </c>
      <c r="AQ28" s="37">
        <v>8.5</v>
      </c>
      <c r="AR28" s="37">
        <v>10.4</v>
      </c>
      <c r="AS28" s="37"/>
      <c r="AT28" s="37">
        <v>7.5</v>
      </c>
      <c r="AU28" s="43">
        <v>5.2</v>
      </c>
      <c r="AW28" s="230">
        <v>10</v>
      </c>
      <c r="AX28" s="230"/>
      <c r="AY28" s="231" t="s">
        <v>72</v>
      </c>
      <c r="AZ28" s="232">
        <v>21450</v>
      </c>
      <c r="BA28" s="87"/>
      <c r="BB28" s="204">
        <f t="shared" si="14"/>
        <v>14</v>
      </c>
      <c r="BC28" s="205" t="str">
        <f t="shared" si="15"/>
        <v>AA #</v>
      </c>
      <c r="BD28" s="206">
        <f t="shared" si="16"/>
        <v>54.16505069911888</v>
      </c>
      <c r="BE28" s="207">
        <f t="shared" si="17"/>
        <v>0</v>
      </c>
      <c r="BF28" s="208"/>
      <c r="BG28" s="209">
        <v>2</v>
      </c>
      <c r="BH28" s="210">
        <f t="shared" si="18"/>
        <v>8536</v>
      </c>
      <c r="BI28" s="352"/>
      <c r="BJ28" s="212">
        <v>5</v>
      </c>
      <c r="BK28" s="210">
        <f t="shared" si="19"/>
        <v>8730</v>
      </c>
      <c r="BL28" s="213"/>
      <c r="BM28" s="214" t="e">
        <f t="shared" si="20"/>
        <v>#DIV/0!</v>
      </c>
      <c r="BN28" s="214" t="e">
        <f t="shared" si="21"/>
        <v>#DIV/0!</v>
      </c>
      <c r="BO28" s="215" t="e">
        <f t="shared" si="22"/>
        <v>#DIV/0!</v>
      </c>
      <c r="BP28" s="216">
        <f t="shared" si="28"/>
        <v>0</v>
      </c>
      <c r="BQ28" s="191">
        <v>0.4</v>
      </c>
      <c r="BR28" s="36"/>
    </row>
    <row r="29" spans="1:70" ht="15">
      <c r="A29" s="233">
        <v>15</v>
      </c>
      <c r="B29" s="234" t="s">
        <v>73</v>
      </c>
      <c r="C29" s="235">
        <f t="shared" si="1"/>
        <v>57.3858722198166</v>
      </c>
      <c r="D29" s="396"/>
      <c r="E29" s="271"/>
      <c r="F29" s="33"/>
      <c r="G29" s="191" t="e">
        <f t="shared" si="2"/>
        <v>#N/A</v>
      </c>
      <c r="H29" s="24" t="e">
        <f t="shared" si="23"/>
        <v>#N/A</v>
      </c>
      <c r="I29" s="218" t="e">
        <f t="shared" si="3"/>
        <v>#N/A</v>
      </c>
      <c r="J29" s="222" t="e">
        <f t="shared" si="29"/>
        <v>#NUM!</v>
      </c>
      <c r="K29" s="24"/>
      <c r="L29" s="193" t="e">
        <f t="shared" si="30"/>
        <v>#N/A</v>
      </c>
      <c r="M29" s="194">
        <v>2</v>
      </c>
      <c r="N29" s="195" t="e">
        <f t="shared" si="31"/>
        <v>#N/A</v>
      </c>
      <c r="O29" s="363">
        <f t="shared" si="25"/>
        <v>0</v>
      </c>
      <c r="P29" s="323"/>
      <c r="R29" s="191" t="e">
        <f t="shared" si="7"/>
        <v>#N/A</v>
      </c>
      <c r="S29" s="24" t="e">
        <f t="shared" si="32"/>
        <v>#N/A</v>
      </c>
      <c r="T29" s="25" t="e">
        <f t="shared" si="33"/>
        <v>#N/A</v>
      </c>
      <c r="U29" s="394" t="e">
        <f t="shared" si="10"/>
        <v>#N/A</v>
      </c>
      <c r="V29" s="198" t="e">
        <f t="shared" si="26"/>
        <v>#N/A</v>
      </c>
      <c r="W29" s="198" t="e">
        <f t="shared" si="27"/>
        <v>#DIV/0!</v>
      </c>
      <c r="X29" s="199"/>
      <c r="Y29" s="198" t="e">
        <f t="shared" si="13"/>
        <v>#DIV/0!</v>
      </c>
      <c r="Z29" s="189"/>
      <c r="AO29" s="200">
        <v>0.38</v>
      </c>
      <c r="AP29" s="37">
        <v>0.4</v>
      </c>
      <c r="AQ29" s="37">
        <v>10</v>
      </c>
      <c r="AR29" s="37">
        <v>12</v>
      </c>
      <c r="AS29" s="37">
        <v>15.7</v>
      </c>
      <c r="AT29" s="37">
        <v>9.1</v>
      </c>
      <c r="AU29" s="43">
        <v>5.9</v>
      </c>
      <c r="AW29" s="219">
        <v>11</v>
      </c>
      <c r="AX29" s="219">
        <v>0.5</v>
      </c>
      <c r="AY29" s="220" t="s">
        <v>74</v>
      </c>
      <c r="AZ29" s="43">
        <v>7849</v>
      </c>
      <c r="BB29" s="204">
        <f t="shared" si="14"/>
        <v>15</v>
      </c>
      <c r="BC29" s="205" t="str">
        <f t="shared" si="15"/>
        <v>BB</v>
      </c>
      <c r="BD29" s="206">
        <f t="shared" si="16"/>
        <v>57.3858722198166</v>
      </c>
      <c r="BE29" s="207">
        <f t="shared" si="17"/>
        <v>0</v>
      </c>
      <c r="BF29" s="208"/>
      <c r="BG29" s="209">
        <v>2</v>
      </c>
      <c r="BH29" s="210">
        <f t="shared" si="18"/>
        <v>8536</v>
      </c>
      <c r="BI29" s="352"/>
      <c r="BJ29" s="212">
        <v>5</v>
      </c>
      <c r="BK29" s="210">
        <f t="shared" si="19"/>
        <v>8730</v>
      </c>
      <c r="BL29" s="213"/>
      <c r="BM29" s="214" t="e">
        <f t="shared" si="20"/>
        <v>#DIV/0!</v>
      </c>
      <c r="BN29" s="214" t="e">
        <f t="shared" si="21"/>
        <v>#DIV/0!</v>
      </c>
      <c r="BO29" s="215" t="e">
        <f t="shared" si="22"/>
        <v>#DIV/0!</v>
      </c>
      <c r="BP29" s="216">
        <f t="shared" si="28"/>
        <v>0</v>
      </c>
      <c r="BQ29" s="191">
        <v>0.36</v>
      </c>
      <c r="BR29" s="36"/>
    </row>
    <row r="30" spans="1:70" ht="15">
      <c r="A30" s="33">
        <v>16</v>
      </c>
      <c r="B30" s="187" t="s">
        <v>75</v>
      </c>
      <c r="C30" s="188">
        <f t="shared" si="1"/>
        <v>60.798213754514016</v>
      </c>
      <c r="D30" s="396"/>
      <c r="E30" s="271"/>
      <c r="F30" s="33"/>
      <c r="G30" s="191" t="e">
        <f t="shared" si="2"/>
        <v>#N/A</v>
      </c>
      <c r="H30" s="24" t="e">
        <f t="shared" si="23"/>
        <v>#N/A</v>
      </c>
      <c r="I30" s="218" t="e">
        <f t="shared" si="3"/>
        <v>#N/A</v>
      </c>
      <c r="J30" s="222" t="e">
        <f t="shared" si="29"/>
        <v>#NUM!</v>
      </c>
      <c r="K30" s="24"/>
      <c r="L30" s="193" t="e">
        <f t="shared" si="30"/>
        <v>#N/A</v>
      </c>
      <c r="M30" s="194">
        <v>2</v>
      </c>
      <c r="N30" s="195" t="e">
        <f t="shared" si="31"/>
        <v>#N/A</v>
      </c>
      <c r="O30" s="363">
        <f t="shared" si="25"/>
        <v>0</v>
      </c>
      <c r="P30" s="323"/>
      <c r="R30" s="191" t="e">
        <f t="shared" si="7"/>
        <v>#N/A</v>
      </c>
      <c r="S30" s="24" t="e">
        <f t="shared" si="32"/>
        <v>#N/A</v>
      </c>
      <c r="T30" s="25" t="e">
        <f t="shared" si="33"/>
        <v>#N/A</v>
      </c>
      <c r="U30" s="394" t="e">
        <f t="shared" si="10"/>
        <v>#N/A</v>
      </c>
      <c r="V30" s="198" t="e">
        <f t="shared" si="26"/>
        <v>#N/A</v>
      </c>
      <c r="W30" s="198" t="e">
        <f t="shared" si="27"/>
        <v>#DIV/0!</v>
      </c>
      <c r="X30" s="199"/>
      <c r="Y30" s="198" t="e">
        <f t="shared" si="13"/>
        <v>#DIV/0!</v>
      </c>
      <c r="Z30" s="189"/>
      <c r="AO30" s="200">
        <v>0.42</v>
      </c>
      <c r="AP30" s="37">
        <v>0.44</v>
      </c>
      <c r="AQ30" s="37"/>
      <c r="AR30" s="37">
        <v>13.6</v>
      </c>
      <c r="AS30" s="37">
        <v>18.4</v>
      </c>
      <c r="AT30" s="37">
        <v>10.8</v>
      </c>
      <c r="AU30" s="43">
        <v>7.5</v>
      </c>
      <c r="AW30" s="219">
        <v>12</v>
      </c>
      <c r="AX30" s="219">
        <v>1</v>
      </c>
      <c r="AY30" s="220" t="s">
        <v>76</v>
      </c>
      <c r="AZ30" s="43">
        <v>8646</v>
      </c>
      <c r="BB30" s="204">
        <f t="shared" si="14"/>
        <v>16</v>
      </c>
      <c r="BC30" s="205" t="str">
        <f t="shared" si="15"/>
        <v>C</v>
      </c>
      <c r="BD30" s="206">
        <f t="shared" si="16"/>
        <v>60.798213754514016</v>
      </c>
      <c r="BE30" s="207">
        <f t="shared" si="17"/>
        <v>0</v>
      </c>
      <c r="BF30" s="208"/>
      <c r="BG30" s="209">
        <v>2</v>
      </c>
      <c r="BH30" s="210">
        <f t="shared" si="18"/>
        <v>8536</v>
      </c>
      <c r="BI30" s="352"/>
      <c r="BJ30" s="212">
        <v>5</v>
      </c>
      <c r="BK30" s="210">
        <f t="shared" si="19"/>
        <v>8730</v>
      </c>
      <c r="BL30" s="213"/>
      <c r="BM30" s="214" t="e">
        <f t="shared" si="20"/>
        <v>#DIV/0!</v>
      </c>
      <c r="BN30" s="214" t="e">
        <f t="shared" si="21"/>
        <v>#DIV/0!</v>
      </c>
      <c r="BO30" s="215" t="e">
        <f t="shared" si="22"/>
        <v>#DIV/0!</v>
      </c>
      <c r="BP30" s="216">
        <f t="shared" si="28"/>
        <v>0</v>
      </c>
      <c r="BQ30" s="191">
        <v>0.3</v>
      </c>
      <c r="BR30" s="36"/>
    </row>
    <row r="31" spans="1:70" ht="15">
      <c r="A31" s="33">
        <v>17</v>
      </c>
      <c r="B31" s="187" t="s">
        <v>77</v>
      </c>
      <c r="C31" s="188">
        <f t="shared" si="1"/>
        <v>64.41346367587529</v>
      </c>
      <c r="D31" s="396"/>
      <c r="E31" s="271"/>
      <c r="F31" s="33"/>
      <c r="G31" s="191" t="e">
        <f t="shared" si="2"/>
        <v>#N/A</v>
      </c>
      <c r="H31" s="24" t="e">
        <f t="shared" si="23"/>
        <v>#N/A</v>
      </c>
      <c r="I31" s="218" t="e">
        <f t="shared" si="3"/>
        <v>#N/A</v>
      </c>
      <c r="J31" s="222" t="e">
        <f t="shared" si="29"/>
        <v>#NUM!</v>
      </c>
      <c r="K31" s="24"/>
      <c r="L31" s="193" t="e">
        <f t="shared" si="30"/>
        <v>#N/A</v>
      </c>
      <c r="M31" s="194">
        <v>2</v>
      </c>
      <c r="N31" s="195" t="e">
        <f t="shared" si="31"/>
        <v>#N/A</v>
      </c>
      <c r="O31" s="363">
        <f t="shared" si="25"/>
        <v>0</v>
      </c>
      <c r="P31" s="323"/>
      <c r="R31" s="191" t="e">
        <f t="shared" si="7"/>
        <v>#N/A</v>
      </c>
      <c r="S31" s="24" t="e">
        <f t="shared" si="32"/>
        <v>#N/A</v>
      </c>
      <c r="T31" s="25" t="e">
        <f t="shared" si="33"/>
        <v>#N/A</v>
      </c>
      <c r="U31" s="394" t="e">
        <f t="shared" si="10"/>
        <v>#N/A</v>
      </c>
      <c r="V31" s="198" t="e">
        <f t="shared" si="26"/>
        <v>#N/A</v>
      </c>
      <c r="W31" s="198" t="e">
        <f t="shared" si="27"/>
        <v>#DIV/0!</v>
      </c>
      <c r="X31" s="199"/>
      <c r="Y31" s="198" t="e">
        <f t="shared" si="13"/>
        <v>#DIV/0!</v>
      </c>
      <c r="Z31" s="189"/>
      <c r="AB31" s="246"/>
      <c r="AO31" s="200">
        <v>0.46</v>
      </c>
      <c r="AP31" s="37">
        <v>0.48</v>
      </c>
      <c r="AQ31" s="37"/>
      <c r="AR31" s="37">
        <v>15.4</v>
      </c>
      <c r="AS31" s="37">
        <v>20.8</v>
      </c>
      <c r="AT31" s="37">
        <v>12.4</v>
      </c>
      <c r="AU31" s="43">
        <v>8.1</v>
      </c>
      <c r="AW31" s="219">
        <v>13</v>
      </c>
      <c r="AX31" s="219">
        <v>1.5</v>
      </c>
      <c r="AY31" s="220" t="s">
        <v>78</v>
      </c>
      <c r="AZ31" s="43">
        <v>8944</v>
      </c>
      <c r="BB31" s="204">
        <f t="shared" si="14"/>
        <v>17</v>
      </c>
      <c r="BC31" s="205" t="str">
        <f t="shared" si="15"/>
        <v>C #</v>
      </c>
      <c r="BD31" s="206">
        <f t="shared" si="16"/>
        <v>64.41346367587529</v>
      </c>
      <c r="BE31" s="207">
        <f t="shared" si="17"/>
        <v>0</v>
      </c>
      <c r="BF31" s="208"/>
      <c r="BG31" s="209">
        <v>2</v>
      </c>
      <c r="BH31" s="210">
        <f t="shared" si="18"/>
        <v>8536</v>
      </c>
      <c r="BI31" s="352"/>
      <c r="BJ31" s="212">
        <v>5</v>
      </c>
      <c r="BK31" s="210">
        <f t="shared" si="19"/>
        <v>8730</v>
      </c>
      <c r="BL31" s="213"/>
      <c r="BM31" s="214" t="e">
        <f t="shared" si="20"/>
        <v>#DIV/0!</v>
      </c>
      <c r="BN31" s="214" t="e">
        <f t="shared" si="21"/>
        <v>#DIV/0!</v>
      </c>
      <c r="BO31" s="215" t="e">
        <f t="shared" si="22"/>
        <v>#DIV/0!</v>
      </c>
      <c r="BP31" s="216">
        <f t="shared" si="28"/>
        <v>0</v>
      </c>
      <c r="BQ31" s="191">
        <v>0.27</v>
      </c>
      <c r="BR31" s="36"/>
    </row>
    <row r="32" spans="1:70" ht="15">
      <c r="A32" s="33">
        <v>18</v>
      </c>
      <c r="B32" s="187" t="s">
        <v>79</v>
      </c>
      <c r="C32" s="188">
        <f t="shared" si="1"/>
        <v>68.2436875444429</v>
      </c>
      <c r="D32" s="350"/>
      <c r="E32" s="190"/>
      <c r="F32" s="33"/>
      <c r="G32" s="191" t="e">
        <f t="shared" si="2"/>
        <v>#N/A</v>
      </c>
      <c r="H32" s="24" t="e">
        <f t="shared" si="23"/>
        <v>#N/A</v>
      </c>
      <c r="I32" s="218" t="e">
        <f t="shared" si="3"/>
        <v>#N/A</v>
      </c>
      <c r="J32" s="222" t="e">
        <f t="shared" si="29"/>
        <v>#NUM!</v>
      </c>
      <c r="K32" s="24"/>
      <c r="L32" s="193" t="e">
        <f t="shared" si="30"/>
        <v>#N/A</v>
      </c>
      <c r="M32" s="194">
        <v>2</v>
      </c>
      <c r="N32" s="195" t="e">
        <f t="shared" si="31"/>
        <v>#N/A</v>
      </c>
      <c r="O32" s="363">
        <f t="shared" si="25"/>
        <v>0</v>
      </c>
      <c r="P32" s="323"/>
      <c r="R32" s="191" t="e">
        <f t="shared" si="7"/>
        <v>#N/A</v>
      </c>
      <c r="S32" s="24" t="e">
        <f t="shared" si="32"/>
        <v>#N/A</v>
      </c>
      <c r="T32" s="25" t="e">
        <f t="shared" si="33"/>
        <v>#N/A</v>
      </c>
      <c r="U32" s="394" t="e">
        <f t="shared" si="10"/>
        <v>#N/A</v>
      </c>
      <c r="V32" s="198" t="e">
        <f t="shared" si="26"/>
        <v>#N/A</v>
      </c>
      <c r="W32" s="198" t="e">
        <f t="shared" si="27"/>
        <v>#DIV/0!</v>
      </c>
      <c r="X32" s="199"/>
      <c r="Y32" s="198" t="e">
        <f t="shared" si="13"/>
        <v>#DIV/0!</v>
      </c>
      <c r="Z32" s="189"/>
      <c r="AO32" s="200">
        <v>0.5</v>
      </c>
      <c r="AP32" s="37">
        <v>0.52</v>
      </c>
      <c r="AQ32" s="37"/>
      <c r="AR32" s="37">
        <v>17.1</v>
      </c>
      <c r="AS32" s="37">
        <v>23.5</v>
      </c>
      <c r="AT32" s="37">
        <v>14</v>
      </c>
      <c r="AU32" s="43">
        <v>9.6</v>
      </c>
      <c r="AW32" s="219">
        <v>14</v>
      </c>
      <c r="AX32" s="219">
        <v>0.5</v>
      </c>
      <c r="AY32" s="220" t="s">
        <v>80</v>
      </c>
      <c r="AZ32" s="43">
        <v>7847</v>
      </c>
      <c r="BB32" s="204">
        <f t="shared" si="14"/>
        <v>18</v>
      </c>
      <c r="BC32" s="205" t="str">
        <f t="shared" si="15"/>
        <v>D</v>
      </c>
      <c r="BD32" s="206">
        <f t="shared" si="16"/>
        <v>68.2436875444429</v>
      </c>
      <c r="BE32" s="207">
        <f t="shared" si="17"/>
        <v>0</v>
      </c>
      <c r="BF32" s="208"/>
      <c r="BG32" s="209">
        <v>2</v>
      </c>
      <c r="BH32" s="210">
        <f t="shared" si="18"/>
        <v>8536</v>
      </c>
      <c r="BI32" s="352"/>
      <c r="BJ32" s="212">
        <v>5</v>
      </c>
      <c r="BK32" s="210">
        <f t="shared" si="19"/>
        <v>8730</v>
      </c>
      <c r="BL32" s="213"/>
      <c r="BM32" s="214" t="e">
        <f t="shared" si="20"/>
        <v>#DIV/0!</v>
      </c>
      <c r="BN32" s="214" t="e">
        <f t="shared" si="21"/>
        <v>#DIV/0!</v>
      </c>
      <c r="BO32" s="215" t="e">
        <f t="shared" si="22"/>
        <v>#DIV/0!</v>
      </c>
      <c r="BP32" s="216">
        <f t="shared" si="28"/>
        <v>0</v>
      </c>
      <c r="BQ32" s="160">
        <v>0.25</v>
      </c>
      <c r="BR32" s="36"/>
    </row>
    <row r="33" spans="1:70" ht="15">
      <c r="A33" s="33">
        <v>19</v>
      </c>
      <c r="B33" s="187" t="s">
        <v>81</v>
      </c>
      <c r="C33" s="188">
        <f t="shared" si="1"/>
        <v>72.30166837632439</v>
      </c>
      <c r="D33" s="350"/>
      <c r="E33" s="190"/>
      <c r="F33" s="33"/>
      <c r="G33" s="191" t="e">
        <f t="shared" si="2"/>
        <v>#N/A</v>
      </c>
      <c r="H33" s="24" t="e">
        <f t="shared" si="23"/>
        <v>#N/A</v>
      </c>
      <c r="I33" s="218" t="e">
        <f t="shared" si="3"/>
        <v>#N/A</v>
      </c>
      <c r="J33" s="222" t="e">
        <f t="shared" si="29"/>
        <v>#NUM!</v>
      </c>
      <c r="K33" s="24"/>
      <c r="L33" s="193" t="e">
        <f t="shared" si="30"/>
        <v>#N/A</v>
      </c>
      <c r="M33" s="194">
        <v>2</v>
      </c>
      <c r="N33" s="195" t="e">
        <f t="shared" si="31"/>
        <v>#N/A</v>
      </c>
      <c r="O33" s="363">
        <f t="shared" si="25"/>
        <v>0</v>
      </c>
      <c r="P33" s="323"/>
      <c r="R33" s="191" t="e">
        <f t="shared" si="7"/>
        <v>#N/A</v>
      </c>
      <c r="S33" s="24" t="e">
        <f t="shared" si="32"/>
        <v>#N/A</v>
      </c>
      <c r="T33" s="25" t="e">
        <f t="shared" si="33"/>
        <v>#N/A</v>
      </c>
      <c r="U33" s="394" t="e">
        <f t="shared" si="10"/>
        <v>#N/A</v>
      </c>
      <c r="V33" s="198" t="e">
        <f t="shared" si="26"/>
        <v>#N/A</v>
      </c>
      <c r="W33" s="198" t="e">
        <f t="shared" si="27"/>
        <v>#DIV/0!</v>
      </c>
      <c r="X33" s="199"/>
      <c r="Y33" s="198" t="e">
        <f t="shared" si="13"/>
        <v>#DIV/0!</v>
      </c>
      <c r="Z33" s="189"/>
      <c r="AO33" s="200">
        <v>0.54</v>
      </c>
      <c r="AP33" s="37">
        <v>0.56</v>
      </c>
      <c r="AQ33" s="37"/>
      <c r="AR33" s="37">
        <v>18.7</v>
      </c>
      <c r="AS33" s="37">
        <v>26.4</v>
      </c>
      <c r="AT33" s="37">
        <v>16</v>
      </c>
      <c r="AU33" s="43">
        <v>10.9</v>
      </c>
      <c r="AW33" s="219">
        <v>15</v>
      </c>
      <c r="AX33" s="219">
        <v>1</v>
      </c>
      <c r="AY33" s="220" t="s">
        <v>82</v>
      </c>
      <c r="AZ33" s="43">
        <v>8404</v>
      </c>
      <c r="BB33" s="204">
        <f t="shared" si="14"/>
        <v>19</v>
      </c>
      <c r="BC33" s="205" t="str">
        <f t="shared" si="15"/>
        <v>D #</v>
      </c>
      <c r="BD33" s="206">
        <f t="shared" si="16"/>
        <v>72.30166837632439</v>
      </c>
      <c r="BE33" s="207">
        <f t="shared" si="17"/>
        <v>0</v>
      </c>
      <c r="BF33" s="208"/>
      <c r="BG33" s="209">
        <v>2</v>
      </c>
      <c r="BH33" s="210">
        <f t="shared" si="18"/>
        <v>8536</v>
      </c>
      <c r="BI33" s="352"/>
      <c r="BJ33" s="212">
        <v>5</v>
      </c>
      <c r="BK33" s="210">
        <f t="shared" si="19"/>
        <v>8730</v>
      </c>
      <c r="BL33" s="213"/>
      <c r="BM33" s="214" t="e">
        <f t="shared" si="20"/>
        <v>#DIV/0!</v>
      </c>
      <c r="BN33" s="214" t="e">
        <f t="shared" si="21"/>
        <v>#DIV/0!</v>
      </c>
      <c r="BO33" s="215" t="e">
        <f t="shared" si="22"/>
        <v>#DIV/0!</v>
      </c>
      <c r="BP33" s="216">
        <f t="shared" si="28"/>
        <v>0</v>
      </c>
      <c r="BQ33" s="36"/>
      <c r="BR33" s="36"/>
    </row>
    <row r="34" spans="1:70" ht="15">
      <c r="A34" s="33">
        <v>20</v>
      </c>
      <c r="B34" s="187" t="s">
        <v>161</v>
      </c>
      <c r="C34" s="188">
        <f t="shared" si="1"/>
        <v>76.60094930532024</v>
      </c>
      <c r="D34" s="350"/>
      <c r="E34" s="190"/>
      <c r="F34" s="33"/>
      <c r="G34" s="191" t="e">
        <f t="shared" si="2"/>
        <v>#N/A</v>
      </c>
      <c r="H34" s="24" t="e">
        <f t="shared" si="23"/>
        <v>#N/A</v>
      </c>
      <c r="I34" s="218" t="e">
        <f t="shared" si="3"/>
        <v>#N/A</v>
      </c>
      <c r="J34" s="222" t="e">
        <f t="shared" si="0"/>
        <v>#NUM!</v>
      </c>
      <c r="K34" s="24"/>
      <c r="L34" s="193" t="e">
        <f t="shared" si="4"/>
        <v>#N/A</v>
      </c>
      <c r="M34" s="194">
        <v>2</v>
      </c>
      <c r="N34" s="195" t="e">
        <f t="shared" si="5"/>
        <v>#N/A</v>
      </c>
      <c r="O34" s="363">
        <f t="shared" si="25"/>
        <v>0</v>
      </c>
      <c r="P34" s="319"/>
      <c r="R34" s="191" t="e">
        <f t="shared" si="7"/>
        <v>#N/A</v>
      </c>
      <c r="S34" s="24" t="e">
        <f t="shared" si="8"/>
        <v>#N/A</v>
      </c>
      <c r="T34" s="25" t="e">
        <f t="shared" si="9"/>
        <v>#N/A</v>
      </c>
      <c r="U34" s="394" t="e">
        <f t="shared" si="10"/>
        <v>#N/A</v>
      </c>
      <c r="V34" s="198" t="e">
        <f t="shared" si="26"/>
        <v>#N/A</v>
      </c>
      <c r="W34" s="198" t="e">
        <f t="shared" si="27"/>
        <v>#DIV/0!</v>
      </c>
      <c r="X34" s="199"/>
      <c r="Y34" s="198" t="e">
        <f t="shared" si="13"/>
        <v>#DIV/0!</v>
      </c>
      <c r="Z34" s="196">
        <f t="shared" si="24"/>
        <v>0</v>
      </c>
      <c r="AO34" s="200">
        <v>0.58</v>
      </c>
      <c r="AP34" s="37">
        <v>0.6</v>
      </c>
      <c r="AQ34" s="37"/>
      <c r="AR34" s="37">
        <v>20.8</v>
      </c>
      <c r="AS34" s="37">
        <v>29</v>
      </c>
      <c r="AT34" s="37">
        <v>19</v>
      </c>
      <c r="AU34" s="247">
        <v>12.5</v>
      </c>
      <c r="AW34" s="219">
        <v>16</v>
      </c>
      <c r="AX34" s="219">
        <v>1.5</v>
      </c>
      <c r="AY34" s="220" t="s">
        <v>162</v>
      </c>
      <c r="AZ34" s="43">
        <v>8564</v>
      </c>
      <c r="BB34" s="204">
        <f t="shared" si="14"/>
        <v>20</v>
      </c>
      <c r="BC34" s="205" t="str">
        <f t="shared" si="15"/>
        <v>E</v>
      </c>
      <c r="BD34" s="206">
        <f t="shared" si="16"/>
        <v>76.60094930532024</v>
      </c>
      <c r="BE34" s="207">
        <f t="shared" si="17"/>
        <v>0</v>
      </c>
      <c r="BF34" s="208"/>
      <c r="BG34" s="209">
        <v>2</v>
      </c>
      <c r="BH34" s="210">
        <f t="shared" si="18"/>
        <v>8536</v>
      </c>
      <c r="BI34" s="352"/>
      <c r="BJ34" s="212">
        <v>5</v>
      </c>
      <c r="BK34" s="210">
        <f t="shared" si="19"/>
        <v>8730</v>
      </c>
      <c r="BL34" s="213"/>
      <c r="BM34" s="214" t="e">
        <f t="shared" si="20"/>
        <v>#DIV/0!</v>
      </c>
      <c r="BN34" s="214" t="e">
        <f t="shared" si="21"/>
        <v>#DIV/0!</v>
      </c>
      <c r="BO34" s="215" t="e">
        <f t="shared" si="22"/>
        <v>#DIV/0!</v>
      </c>
      <c r="BP34" s="216">
        <f t="shared" si="28"/>
        <v>0</v>
      </c>
      <c r="BQ34" s="36"/>
      <c r="BR34" s="36"/>
    </row>
    <row r="35" spans="1:70" s="37" customFormat="1" ht="15">
      <c r="A35" s="233">
        <v>21</v>
      </c>
      <c r="B35" s="234" t="s">
        <v>163</v>
      </c>
      <c r="C35" s="235">
        <f t="shared" si="1"/>
        <v>81.1558787818741</v>
      </c>
      <c r="D35" s="350"/>
      <c r="E35" s="190"/>
      <c r="F35" s="33"/>
      <c r="G35" s="191" t="e">
        <f t="shared" si="2"/>
        <v>#N/A</v>
      </c>
      <c r="H35" s="24" t="e">
        <f t="shared" si="23"/>
        <v>#N/A</v>
      </c>
      <c r="I35" s="218" t="e">
        <f t="shared" si="3"/>
        <v>#N/A</v>
      </c>
      <c r="J35" s="222" t="e">
        <f t="shared" si="0"/>
        <v>#NUM!</v>
      </c>
      <c r="K35" s="24"/>
      <c r="L35" s="193" t="e">
        <f t="shared" si="4"/>
        <v>#N/A</v>
      </c>
      <c r="M35" s="194">
        <v>2</v>
      </c>
      <c r="N35" s="195" t="e">
        <f t="shared" si="5"/>
        <v>#N/A</v>
      </c>
      <c r="O35" s="363">
        <f t="shared" si="25"/>
        <v>0</v>
      </c>
      <c r="P35" s="324"/>
      <c r="Q35" s="33"/>
      <c r="R35" s="191" t="e">
        <f t="shared" si="7"/>
        <v>#N/A</v>
      </c>
      <c r="S35" s="24" t="e">
        <f t="shared" si="8"/>
        <v>#N/A</v>
      </c>
      <c r="T35" s="25" t="e">
        <f t="shared" si="9"/>
        <v>#N/A</v>
      </c>
      <c r="U35" s="394" t="e">
        <f t="shared" si="10"/>
        <v>#N/A</v>
      </c>
      <c r="V35" s="198" t="e">
        <f t="shared" si="26"/>
        <v>#N/A</v>
      </c>
      <c r="W35" s="198" t="e">
        <f t="shared" si="27"/>
        <v>#DIV/0!</v>
      </c>
      <c r="X35" s="199"/>
      <c r="Y35" s="198" t="e">
        <f t="shared" si="13"/>
        <v>#DIV/0!</v>
      </c>
      <c r="Z35" s="196">
        <f t="shared" si="24"/>
        <v>0</v>
      </c>
      <c r="AB35" s="133"/>
      <c r="AO35" s="200">
        <v>0.625</v>
      </c>
      <c r="AP35" s="37">
        <v>0.65</v>
      </c>
      <c r="AR35" s="37">
        <v>23.3</v>
      </c>
      <c r="AS35" s="37">
        <v>32.4</v>
      </c>
      <c r="AT35" s="37">
        <v>21.6</v>
      </c>
      <c r="AU35" s="247">
        <v>14</v>
      </c>
      <c r="AW35" s="219">
        <v>17</v>
      </c>
      <c r="AX35" s="219">
        <v>0.5</v>
      </c>
      <c r="AY35" s="220" t="s">
        <v>164</v>
      </c>
      <c r="AZ35" s="43">
        <v>7741</v>
      </c>
      <c r="BB35" s="204">
        <f t="shared" si="14"/>
        <v>21</v>
      </c>
      <c r="BC35" s="205" t="str">
        <f t="shared" si="15"/>
        <v>F</v>
      </c>
      <c r="BD35" s="206">
        <f t="shared" si="16"/>
        <v>81.1558787818741</v>
      </c>
      <c r="BE35" s="207">
        <f t="shared" si="17"/>
        <v>0</v>
      </c>
      <c r="BF35" s="208"/>
      <c r="BG35" s="209">
        <v>2</v>
      </c>
      <c r="BH35" s="210">
        <f t="shared" si="18"/>
        <v>8536</v>
      </c>
      <c r="BI35" s="352"/>
      <c r="BJ35" s="212">
        <v>5</v>
      </c>
      <c r="BK35" s="210">
        <f t="shared" si="19"/>
        <v>8730</v>
      </c>
      <c r="BL35" s="213"/>
      <c r="BM35" s="214" t="e">
        <f t="shared" si="20"/>
        <v>#DIV/0!</v>
      </c>
      <c r="BN35" s="214" t="e">
        <f t="shared" si="21"/>
        <v>#DIV/0!</v>
      </c>
      <c r="BO35" s="215" t="e">
        <f t="shared" si="22"/>
        <v>#DIV/0!</v>
      </c>
      <c r="BP35" s="216">
        <f t="shared" si="28"/>
        <v>0</v>
      </c>
      <c r="BQ35" s="250"/>
      <c r="BR35" s="250"/>
    </row>
    <row r="36" spans="1:70" ht="15">
      <c r="A36" s="33">
        <v>22</v>
      </c>
      <c r="B36" s="187" t="s">
        <v>165</v>
      </c>
      <c r="C36" s="188">
        <f t="shared" si="1"/>
        <v>85.98165845969221</v>
      </c>
      <c r="D36" s="350"/>
      <c r="E36" s="190"/>
      <c r="F36" s="33"/>
      <c r="G36" s="191" t="e">
        <f t="shared" si="2"/>
        <v>#N/A</v>
      </c>
      <c r="H36" s="24" t="e">
        <f t="shared" si="23"/>
        <v>#N/A</v>
      </c>
      <c r="I36" s="218" t="e">
        <f t="shared" si="3"/>
        <v>#N/A</v>
      </c>
      <c r="J36" s="222" t="e">
        <f t="shared" si="0"/>
        <v>#NUM!</v>
      </c>
      <c r="K36" s="24"/>
      <c r="L36" s="193" t="e">
        <f t="shared" si="4"/>
        <v>#N/A</v>
      </c>
      <c r="M36" s="194">
        <v>2</v>
      </c>
      <c r="N36" s="195" t="e">
        <f t="shared" si="5"/>
        <v>#N/A</v>
      </c>
      <c r="O36" s="363">
        <f t="shared" si="25"/>
        <v>0</v>
      </c>
      <c r="P36" s="319"/>
      <c r="R36" s="191" t="e">
        <f t="shared" si="7"/>
        <v>#N/A</v>
      </c>
      <c r="S36" s="24" t="e">
        <f t="shared" si="8"/>
        <v>#N/A</v>
      </c>
      <c r="T36" s="25" t="e">
        <f t="shared" si="9"/>
        <v>#N/A</v>
      </c>
      <c r="U36" s="394" t="e">
        <f t="shared" si="10"/>
        <v>#N/A</v>
      </c>
      <c r="V36" s="198" t="e">
        <f t="shared" si="26"/>
        <v>#N/A</v>
      </c>
      <c r="W36" s="198" t="e">
        <f t="shared" si="27"/>
        <v>#DIV/0!</v>
      </c>
      <c r="X36" s="199"/>
      <c r="Y36" s="198" t="e">
        <f t="shared" si="13"/>
        <v>#DIV/0!</v>
      </c>
      <c r="Z36" s="196">
        <f t="shared" si="24"/>
        <v>0</v>
      </c>
      <c r="AO36" s="200">
        <v>0.675</v>
      </c>
      <c r="AP36" s="37">
        <v>0.7</v>
      </c>
      <c r="AQ36" s="37"/>
      <c r="AR36" s="37">
        <v>26</v>
      </c>
      <c r="AS36" s="37">
        <v>35.8</v>
      </c>
      <c r="AT36" s="37">
        <v>24.3</v>
      </c>
      <c r="AU36" s="43"/>
      <c r="AW36" s="219">
        <v>18</v>
      </c>
      <c r="AX36" s="219">
        <v>0.5</v>
      </c>
      <c r="AY36" s="220" t="s">
        <v>166</v>
      </c>
      <c r="AZ36" s="43">
        <v>7832</v>
      </c>
      <c r="BB36" s="204">
        <f t="shared" si="14"/>
        <v>22</v>
      </c>
      <c r="BC36" s="205" t="str">
        <f t="shared" si="15"/>
        <v>F #</v>
      </c>
      <c r="BD36" s="206">
        <f t="shared" si="16"/>
        <v>85.98165845969221</v>
      </c>
      <c r="BE36" s="207">
        <f t="shared" si="17"/>
        <v>0</v>
      </c>
      <c r="BF36" s="208"/>
      <c r="BG36" s="209">
        <v>2</v>
      </c>
      <c r="BH36" s="210">
        <f t="shared" si="18"/>
        <v>8536</v>
      </c>
      <c r="BI36" s="352"/>
      <c r="BJ36" s="212">
        <v>5</v>
      </c>
      <c r="BK36" s="210">
        <f t="shared" si="19"/>
        <v>8730</v>
      </c>
      <c r="BL36" s="213"/>
      <c r="BM36" s="214" t="e">
        <f t="shared" si="20"/>
        <v>#DIV/0!</v>
      </c>
      <c r="BN36" s="214" t="e">
        <f t="shared" si="21"/>
        <v>#DIV/0!</v>
      </c>
      <c r="BO36" s="215" t="e">
        <f t="shared" si="22"/>
        <v>#DIV/0!</v>
      </c>
      <c r="BP36" s="216">
        <f t="shared" si="28"/>
        <v>0</v>
      </c>
      <c r="BQ36" s="36"/>
      <c r="BR36" s="36"/>
    </row>
    <row r="37" spans="1:70" ht="15">
      <c r="A37" s="33">
        <v>23</v>
      </c>
      <c r="B37" s="187" t="s">
        <v>167</v>
      </c>
      <c r="C37" s="188">
        <f t="shared" si="1"/>
        <v>91.09439392984959</v>
      </c>
      <c r="D37" s="350"/>
      <c r="E37" s="190"/>
      <c r="F37" s="33"/>
      <c r="G37" s="191" t="e">
        <f t="shared" si="2"/>
        <v>#N/A</v>
      </c>
      <c r="H37" s="24" t="e">
        <f t="shared" si="23"/>
        <v>#N/A</v>
      </c>
      <c r="I37" s="218" t="e">
        <f t="shared" si="3"/>
        <v>#N/A</v>
      </c>
      <c r="J37" s="222" t="e">
        <f t="shared" si="0"/>
        <v>#NUM!</v>
      </c>
      <c r="K37" s="24"/>
      <c r="L37" s="193" t="e">
        <f t="shared" si="4"/>
        <v>#N/A</v>
      </c>
      <c r="M37" s="194">
        <v>2</v>
      </c>
      <c r="N37" s="195" t="e">
        <f t="shared" si="5"/>
        <v>#N/A</v>
      </c>
      <c r="O37" s="363">
        <f t="shared" si="25"/>
        <v>0</v>
      </c>
      <c r="P37" s="319"/>
      <c r="R37" s="191" t="e">
        <f t="shared" si="7"/>
        <v>#N/A</v>
      </c>
      <c r="S37" s="24" t="e">
        <f t="shared" si="8"/>
        <v>#N/A</v>
      </c>
      <c r="T37" s="25" t="e">
        <f t="shared" si="9"/>
        <v>#N/A</v>
      </c>
      <c r="U37" s="394" t="e">
        <f t="shared" si="10"/>
        <v>#N/A</v>
      </c>
      <c r="V37" s="198" t="e">
        <f t="shared" si="26"/>
        <v>#N/A</v>
      </c>
      <c r="W37" s="198" t="e">
        <f t="shared" si="27"/>
        <v>#DIV/0!</v>
      </c>
      <c r="X37" s="199"/>
      <c r="Y37" s="198" t="e">
        <f t="shared" si="13"/>
        <v>#DIV/0!</v>
      </c>
      <c r="Z37" s="196">
        <f t="shared" si="24"/>
        <v>0</v>
      </c>
      <c r="AO37" s="200">
        <v>0.725</v>
      </c>
      <c r="AP37" s="37">
        <v>0.75</v>
      </c>
      <c r="AQ37" s="37"/>
      <c r="AR37" s="37">
        <v>28.8</v>
      </c>
      <c r="AS37" s="37">
        <v>39.2</v>
      </c>
      <c r="AT37" s="37">
        <v>27.2</v>
      </c>
      <c r="AU37" s="43"/>
      <c r="AW37" s="219">
        <v>19</v>
      </c>
      <c r="AX37" s="219">
        <v>1</v>
      </c>
      <c r="AY37" s="220" t="s">
        <v>168</v>
      </c>
      <c r="AZ37" s="43">
        <v>8382</v>
      </c>
      <c r="BB37" s="204">
        <f t="shared" si="14"/>
        <v>23</v>
      </c>
      <c r="BC37" s="205" t="str">
        <f t="shared" si="15"/>
        <v>G</v>
      </c>
      <c r="BD37" s="206">
        <f t="shared" si="16"/>
        <v>91.09439392984959</v>
      </c>
      <c r="BE37" s="207">
        <f t="shared" si="17"/>
        <v>0</v>
      </c>
      <c r="BF37" s="208"/>
      <c r="BG37" s="209">
        <v>2</v>
      </c>
      <c r="BH37" s="210">
        <f t="shared" si="18"/>
        <v>8536</v>
      </c>
      <c r="BI37" s="352"/>
      <c r="BJ37" s="212">
        <v>5</v>
      </c>
      <c r="BK37" s="210">
        <f t="shared" si="19"/>
        <v>8730</v>
      </c>
      <c r="BL37" s="213"/>
      <c r="BM37" s="214" t="e">
        <f t="shared" si="20"/>
        <v>#DIV/0!</v>
      </c>
      <c r="BN37" s="214" t="e">
        <f t="shared" si="21"/>
        <v>#DIV/0!</v>
      </c>
      <c r="BO37" s="215" t="e">
        <f t="shared" si="22"/>
        <v>#DIV/0!</v>
      </c>
      <c r="BP37" s="216">
        <f t="shared" si="28"/>
        <v>0</v>
      </c>
      <c r="BQ37" s="36"/>
      <c r="BR37" s="36"/>
    </row>
    <row r="38" spans="1:70" ht="15">
      <c r="A38" s="33">
        <v>24</v>
      </c>
      <c r="B38" s="187" t="s">
        <v>169</v>
      </c>
      <c r="C38" s="188">
        <f t="shared" si="1"/>
        <v>96.51114847170305</v>
      </c>
      <c r="D38" s="350"/>
      <c r="E38" s="190"/>
      <c r="F38" s="33"/>
      <c r="G38" s="191" t="e">
        <f t="shared" si="2"/>
        <v>#N/A</v>
      </c>
      <c r="H38" s="24" t="e">
        <f t="shared" si="23"/>
        <v>#N/A</v>
      </c>
      <c r="I38" s="218" t="e">
        <f t="shared" si="3"/>
        <v>#N/A</v>
      </c>
      <c r="J38" s="222" t="e">
        <f t="shared" si="0"/>
        <v>#NUM!</v>
      </c>
      <c r="K38" s="24"/>
      <c r="L38" s="193" t="e">
        <f t="shared" si="4"/>
        <v>#N/A</v>
      </c>
      <c r="M38" s="194">
        <v>2</v>
      </c>
      <c r="N38" s="195" t="e">
        <f t="shared" si="5"/>
        <v>#N/A</v>
      </c>
      <c r="O38" s="363">
        <f t="shared" si="25"/>
        <v>0</v>
      </c>
      <c r="P38" s="319"/>
      <c r="R38" s="191" t="e">
        <f t="shared" si="7"/>
        <v>#N/A</v>
      </c>
      <c r="S38" s="24" t="e">
        <f t="shared" si="8"/>
        <v>#N/A</v>
      </c>
      <c r="T38" s="25" t="e">
        <f t="shared" si="9"/>
        <v>#N/A</v>
      </c>
      <c r="U38" s="394" t="e">
        <f t="shared" si="10"/>
        <v>#N/A</v>
      </c>
      <c r="V38" s="198" t="e">
        <f t="shared" si="26"/>
        <v>#N/A</v>
      </c>
      <c r="W38" s="198" t="e">
        <f t="shared" si="27"/>
        <v>#DIV/0!</v>
      </c>
      <c r="X38" s="199"/>
      <c r="Y38" s="198" t="e">
        <f t="shared" si="13"/>
        <v>#DIV/0!</v>
      </c>
      <c r="Z38" s="196">
        <f t="shared" si="24"/>
        <v>0</v>
      </c>
      <c r="AO38" s="200">
        <v>0.775</v>
      </c>
      <c r="AP38" s="37">
        <v>0.8</v>
      </c>
      <c r="AQ38" s="37"/>
      <c r="AR38" s="37">
        <v>31.5</v>
      </c>
      <c r="AS38" s="37">
        <v>42.5</v>
      </c>
      <c r="AT38" s="37">
        <v>30.2</v>
      </c>
      <c r="AU38" s="43"/>
      <c r="AW38" s="251">
        <v>20</v>
      </c>
      <c r="AX38" s="251">
        <v>1.5</v>
      </c>
      <c r="AY38" s="252" t="s">
        <v>170</v>
      </c>
      <c r="AZ38" s="59">
        <v>8870</v>
      </c>
      <c r="BB38" s="204">
        <f t="shared" si="14"/>
        <v>24</v>
      </c>
      <c r="BC38" s="205" t="str">
        <f t="shared" si="15"/>
        <v>G #</v>
      </c>
      <c r="BD38" s="206">
        <f t="shared" si="16"/>
        <v>96.51114847170305</v>
      </c>
      <c r="BE38" s="207">
        <f t="shared" si="17"/>
        <v>0</v>
      </c>
      <c r="BF38" s="208"/>
      <c r="BG38" s="209">
        <v>2</v>
      </c>
      <c r="BH38" s="210">
        <f t="shared" si="18"/>
        <v>8536</v>
      </c>
      <c r="BI38" s="352"/>
      <c r="BJ38" s="212">
        <v>5</v>
      </c>
      <c r="BK38" s="210">
        <f t="shared" si="19"/>
        <v>8730</v>
      </c>
      <c r="BL38" s="213"/>
      <c r="BM38" s="214" t="e">
        <f t="shared" si="20"/>
        <v>#DIV/0!</v>
      </c>
      <c r="BN38" s="214" t="e">
        <f t="shared" si="21"/>
        <v>#DIV/0!</v>
      </c>
      <c r="BO38" s="215" t="e">
        <f t="shared" si="22"/>
        <v>#DIV/0!</v>
      </c>
      <c r="BP38" s="216">
        <f t="shared" si="28"/>
        <v>0</v>
      </c>
      <c r="BQ38" s="36"/>
      <c r="BR38" s="36"/>
    </row>
    <row r="39" spans="1:70" ht="15">
      <c r="A39" s="33">
        <v>25</v>
      </c>
      <c r="B39" s="187" t="s">
        <v>171</v>
      </c>
      <c r="C39" s="188">
        <f t="shared" si="1"/>
        <v>102.24999999999989</v>
      </c>
      <c r="D39" s="350"/>
      <c r="E39" s="190"/>
      <c r="G39" s="191" t="e">
        <f t="shared" si="2"/>
        <v>#N/A</v>
      </c>
      <c r="H39" s="24" t="e">
        <f t="shared" si="23"/>
        <v>#N/A</v>
      </c>
      <c r="I39" s="218" t="e">
        <f t="shared" si="3"/>
        <v>#N/A</v>
      </c>
      <c r="J39" s="222" t="e">
        <f t="shared" si="0"/>
        <v>#NUM!</v>
      </c>
      <c r="K39" s="24"/>
      <c r="L39" s="193" t="e">
        <f t="shared" si="4"/>
        <v>#N/A</v>
      </c>
      <c r="M39" s="194">
        <v>2</v>
      </c>
      <c r="N39" s="195" t="e">
        <f t="shared" si="5"/>
        <v>#N/A</v>
      </c>
      <c r="O39" s="363">
        <f t="shared" si="25"/>
        <v>0</v>
      </c>
      <c r="P39" s="325"/>
      <c r="Q39" s="384"/>
      <c r="R39" s="191" t="e">
        <f t="shared" si="7"/>
        <v>#N/A</v>
      </c>
      <c r="S39" s="24" t="e">
        <f t="shared" si="8"/>
        <v>#N/A</v>
      </c>
      <c r="T39" s="25" t="e">
        <f t="shared" si="9"/>
        <v>#N/A</v>
      </c>
      <c r="U39" s="394" t="e">
        <f t="shared" si="10"/>
        <v>#N/A</v>
      </c>
      <c r="V39" s="198" t="e">
        <f t="shared" si="26"/>
        <v>#N/A</v>
      </c>
      <c r="W39" s="198" t="e">
        <f t="shared" si="27"/>
        <v>#DIV/0!</v>
      </c>
      <c r="X39" s="199"/>
      <c r="Y39" s="198" t="e">
        <f>X39*V39</f>
        <v>#N/A</v>
      </c>
      <c r="Z39" s="196">
        <f t="shared" si="24"/>
        <v>0</v>
      </c>
      <c r="AO39" s="200">
        <v>0.825</v>
      </c>
      <c r="AP39" s="37">
        <v>0.85</v>
      </c>
      <c r="AQ39" s="37"/>
      <c r="AR39" s="37"/>
      <c r="AS39" s="37">
        <v>45.7</v>
      </c>
      <c r="AT39" s="37">
        <v>33.1</v>
      </c>
      <c r="AU39" s="43"/>
      <c r="AW39" s="87">
        <v>21</v>
      </c>
      <c r="AX39" s="87">
        <v>1.5</v>
      </c>
      <c r="AY39" s="87" t="s">
        <v>83</v>
      </c>
      <c r="AZ39" s="87">
        <v>8250</v>
      </c>
      <c r="BB39" s="204">
        <f t="shared" si="14"/>
        <v>25</v>
      </c>
      <c r="BC39" s="205" t="str">
        <f t="shared" si="15"/>
        <v>A</v>
      </c>
      <c r="BD39" s="206">
        <f t="shared" si="16"/>
        <v>102.24999999999989</v>
      </c>
      <c r="BE39" s="207">
        <f t="shared" si="17"/>
        <v>0</v>
      </c>
      <c r="BF39" s="208"/>
      <c r="BG39" s="209">
        <v>2</v>
      </c>
      <c r="BH39" s="210">
        <f t="shared" si="18"/>
        <v>8536</v>
      </c>
      <c r="BI39" s="352"/>
      <c r="BJ39" s="212">
        <v>5</v>
      </c>
      <c r="BK39" s="210">
        <f t="shared" si="19"/>
        <v>8730</v>
      </c>
      <c r="BL39" s="213"/>
      <c r="BM39" s="214" t="e">
        <f t="shared" si="20"/>
        <v>#DIV/0!</v>
      </c>
      <c r="BN39" s="214" t="e">
        <f t="shared" si="21"/>
        <v>#DIV/0!</v>
      </c>
      <c r="BO39" s="215" t="e">
        <f t="shared" si="22"/>
        <v>#DIV/0!</v>
      </c>
      <c r="BP39" s="216">
        <f t="shared" si="28"/>
        <v>0</v>
      </c>
      <c r="BQ39" s="36"/>
      <c r="BR39" s="36"/>
    </row>
    <row r="40" spans="1:70" ht="15">
      <c r="A40" s="33">
        <v>26</v>
      </c>
      <c r="B40" s="187" t="s">
        <v>172</v>
      </c>
      <c r="C40" s="188">
        <f t="shared" si="1"/>
        <v>108.33010139823783</v>
      </c>
      <c r="D40" s="350"/>
      <c r="E40" s="190"/>
      <c r="G40" s="191" t="e">
        <f t="shared" si="2"/>
        <v>#N/A</v>
      </c>
      <c r="H40" s="24" t="e">
        <f t="shared" si="23"/>
        <v>#N/A</v>
      </c>
      <c r="I40" s="218" t="e">
        <f t="shared" si="3"/>
        <v>#N/A</v>
      </c>
      <c r="J40" s="222" t="e">
        <f t="shared" si="0"/>
        <v>#NUM!</v>
      </c>
      <c r="K40" s="24"/>
      <c r="L40" s="193" t="e">
        <f t="shared" si="4"/>
        <v>#N/A</v>
      </c>
      <c r="M40" s="194">
        <v>2</v>
      </c>
      <c r="N40" s="195" t="e">
        <f t="shared" si="5"/>
        <v>#N/A</v>
      </c>
      <c r="O40" s="363">
        <f t="shared" si="25"/>
        <v>0</v>
      </c>
      <c r="P40" s="325"/>
      <c r="Q40" s="384"/>
      <c r="R40" s="191" t="e">
        <f t="shared" si="7"/>
        <v>#N/A</v>
      </c>
      <c r="S40" s="24" t="e">
        <f t="shared" si="8"/>
        <v>#N/A</v>
      </c>
      <c r="T40" s="25" t="e">
        <f t="shared" si="9"/>
        <v>#N/A</v>
      </c>
      <c r="U40" s="394" t="e">
        <f t="shared" si="10"/>
        <v>#N/A</v>
      </c>
      <c r="V40" s="198" t="e">
        <f t="shared" si="26"/>
        <v>#N/A</v>
      </c>
      <c r="W40" s="198" t="e">
        <f t="shared" si="27"/>
        <v>#DIV/0!</v>
      </c>
      <c r="X40" s="199"/>
      <c r="Y40" s="198" t="e">
        <f t="shared" si="13"/>
        <v>#DIV/0!</v>
      </c>
      <c r="Z40" s="196">
        <f t="shared" si="24"/>
        <v>0</v>
      </c>
      <c r="AO40" s="200">
        <v>0.875</v>
      </c>
      <c r="AP40" s="37">
        <v>0.9</v>
      </c>
      <c r="AQ40" s="37"/>
      <c r="AR40" s="37"/>
      <c r="AS40" s="37">
        <v>48.9</v>
      </c>
      <c r="AT40" s="37">
        <v>36.1</v>
      </c>
      <c r="AU40" s="43"/>
      <c r="AW40" s="36"/>
      <c r="AX40" s="36"/>
      <c r="AY40" s="36"/>
      <c r="BB40" s="204">
        <f t="shared" si="14"/>
        <v>26</v>
      </c>
      <c r="BC40" s="205" t="str">
        <f t="shared" si="15"/>
        <v>A #</v>
      </c>
      <c r="BD40" s="206">
        <f t="shared" si="16"/>
        <v>108.33010139823783</v>
      </c>
      <c r="BE40" s="207">
        <f t="shared" si="17"/>
        <v>0</v>
      </c>
      <c r="BF40" s="208"/>
      <c r="BG40" s="209">
        <v>2</v>
      </c>
      <c r="BH40" s="210">
        <f t="shared" si="18"/>
        <v>8536</v>
      </c>
      <c r="BI40" s="352"/>
      <c r="BJ40" s="212">
        <v>5</v>
      </c>
      <c r="BK40" s="210">
        <f t="shared" si="19"/>
        <v>8730</v>
      </c>
      <c r="BL40" s="213"/>
      <c r="BM40" s="214" t="e">
        <f t="shared" si="20"/>
        <v>#DIV/0!</v>
      </c>
      <c r="BN40" s="214" t="e">
        <f t="shared" si="21"/>
        <v>#DIV/0!</v>
      </c>
      <c r="BO40" s="215" t="e">
        <f t="shared" si="22"/>
        <v>#DIV/0!</v>
      </c>
      <c r="BP40" s="216">
        <f t="shared" si="28"/>
        <v>0</v>
      </c>
      <c r="BQ40" s="36"/>
      <c r="BR40" s="36"/>
    </row>
    <row r="41" spans="1:69" ht="15.75" thickBot="1">
      <c r="A41" s="233">
        <v>27</v>
      </c>
      <c r="B41" s="234" t="s">
        <v>173</v>
      </c>
      <c r="C41" s="235">
        <f t="shared" si="1"/>
        <v>114.77174443963328</v>
      </c>
      <c r="D41" s="350"/>
      <c r="E41" s="190"/>
      <c r="G41" s="191" t="e">
        <f t="shared" si="2"/>
        <v>#N/A</v>
      </c>
      <c r="H41" s="24" t="e">
        <f t="shared" si="23"/>
        <v>#N/A</v>
      </c>
      <c r="I41" s="218" t="e">
        <f t="shared" si="3"/>
        <v>#N/A</v>
      </c>
      <c r="J41" s="222" t="e">
        <f t="shared" si="0"/>
        <v>#NUM!</v>
      </c>
      <c r="K41" s="24"/>
      <c r="L41" s="193" t="e">
        <f t="shared" si="4"/>
        <v>#N/A</v>
      </c>
      <c r="M41" s="194">
        <v>2</v>
      </c>
      <c r="N41" s="195" t="e">
        <f t="shared" si="5"/>
        <v>#N/A</v>
      </c>
      <c r="O41" s="363">
        <f t="shared" si="25"/>
        <v>0</v>
      </c>
      <c r="P41" s="325"/>
      <c r="Q41" s="384"/>
      <c r="R41" s="191" t="e">
        <f t="shared" si="7"/>
        <v>#N/A</v>
      </c>
      <c r="S41" s="24" t="e">
        <f t="shared" si="8"/>
        <v>#N/A</v>
      </c>
      <c r="T41" s="25" t="e">
        <f t="shared" si="9"/>
        <v>#N/A</v>
      </c>
      <c r="U41" s="394" t="e">
        <f t="shared" si="10"/>
        <v>#N/A</v>
      </c>
      <c r="V41" s="198" t="e">
        <f t="shared" si="26"/>
        <v>#N/A</v>
      </c>
      <c r="W41" s="198" t="e">
        <f t="shared" si="27"/>
        <v>#DIV/0!</v>
      </c>
      <c r="X41" s="199"/>
      <c r="Y41" s="198" t="e">
        <f t="shared" si="13"/>
        <v>#DIV/0!</v>
      </c>
      <c r="Z41" s="196">
        <f t="shared" si="24"/>
        <v>0</v>
      </c>
      <c r="AO41" s="200">
        <v>0.925</v>
      </c>
      <c r="AP41" s="37">
        <v>0.95</v>
      </c>
      <c r="AQ41" s="37"/>
      <c r="AR41" s="37"/>
      <c r="AS41" s="37">
        <v>51.7</v>
      </c>
      <c r="AT41" s="37">
        <v>39</v>
      </c>
      <c r="AU41" s="43"/>
      <c r="AX41" s="36"/>
      <c r="BB41" s="174">
        <f t="shared" si="14"/>
        <v>27</v>
      </c>
      <c r="BC41" s="236" t="str">
        <f t="shared" si="15"/>
        <v>B</v>
      </c>
      <c r="BD41" s="237">
        <f t="shared" si="16"/>
        <v>114.77174443963328</v>
      </c>
      <c r="BE41" s="238">
        <f t="shared" si="17"/>
        <v>0</v>
      </c>
      <c r="BF41" s="239"/>
      <c r="BG41" s="240">
        <v>2</v>
      </c>
      <c r="BH41" s="241">
        <f t="shared" si="18"/>
        <v>8536</v>
      </c>
      <c r="BI41" s="353"/>
      <c r="BJ41" s="255">
        <v>5</v>
      </c>
      <c r="BK41" s="241">
        <f t="shared" si="19"/>
        <v>8730</v>
      </c>
      <c r="BL41" s="243"/>
      <c r="BM41" s="244" t="e">
        <f t="shared" si="20"/>
        <v>#DIV/0!</v>
      </c>
      <c r="BN41" s="244" t="e">
        <f t="shared" si="21"/>
        <v>#DIV/0!</v>
      </c>
      <c r="BO41" s="245" t="e">
        <f t="shared" si="22"/>
        <v>#DIV/0!</v>
      </c>
      <c r="BP41" s="216">
        <f>P41</f>
        <v>0</v>
      </c>
      <c r="BQ41" s="36"/>
    </row>
    <row r="42" spans="1:47" ht="15">
      <c r="A42" s="33">
        <v>28</v>
      </c>
      <c r="B42" s="187" t="s">
        <v>137</v>
      </c>
      <c r="C42" s="188">
        <f t="shared" si="1"/>
        <v>121.59642750902812</v>
      </c>
      <c r="D42" s="350"/>
      <c r="E42" s="190"/>
      <c r="G42" s="191" t="e">
        <f t="shared" si="2"/>
        <v>#N/A</v>
      </c>
      <c r="H42" s="24" t="e">
        <f t="shared" si="23"/>
        <v>#N/A</v>
      </c>
      <c r="I42" s="218" t="e">
        <f t="shared" si="3"/>
        <v>#N/A</v>
      </c>
      <c r="J42" s="222" t="e">
        <f t="shared" si="0"/>
        <v>#NUM!</v>
      </c>
      <c r="K42" s="24" t="e">
        <f>LOG(4*D66)</f>
        <v>#NUM!</v>
      </c>
      <c r="L42" s="193" t="e">
        <f t="shared" si="4"/>
        <v>#N/A</v>
      </c>
      <c r="M42" s="194">
        <v>2</v>
      </c>
      <c r="N42" s="195" t="e">
        <f t="shared" si="5"/>
        <v>#N/A</v>
      </c>
      <c r="O42" s="363">
        <f t="shared" si="25"/>
        <v>0</v>
      </c>
      <c r="P42" s="323"/>
      <c r="Q42" s="384"/>
      <c r="R42" s="191" t="e">
        <f t="shared" si="7"/>
        <v>#N/A</v>
      </c>
      <c r="S42" s="24" t="e">
        <f t="shared" si="8"/>
        <v>#N/A</v>
      </c>
      <c r="T42" s="25" t="e">
        <f t="shared" si="9"/>
        <v>#N/A</v>
      </c>
      <c r="U42" s="394" t="e">
        <f t="shared" si="10"/>
        <v>#N/A</v>
      </c>
      <c r="V42" s="198" t="e">
        <f t="shared" si="26"/>
        <v>#N/A</v>
      </c>
      <c r="W42" s="198">
        <f t="shared" si="27"/>
        <v>0</v>
      </c>
      <c r="X42" s="199"/>
      <c r="Y42" s="198">
        <f t="shared" si="13"/>
        <v>0</v>
      </c>
      <c r="Z42" s="196">
        <f t="shared" si="24"/>
        <v>0</v>
      </c>
      <c r="AO42" s="200">
        <v>0.975</v>
      </c>
      <c r="AP42" s="37">
        <v>1</v>
      </c>
      <c r="AQ42" s="37"/>
      <c r="AR42" s="37"/>
      <c r="AS42" s="37">
        <v>54.6</v>
      </c>
      <c r="AT42" s="37">
        <v>42</v>
      </c>
      <c r="AU42" s="43"/>
    </row>
    <row r="43" spans="1:47" ht="15">
      <c r="A43" s="33">
        <v>29</v>
      </c>
      <c r="B43" s="187" t="s">
        <v>174</v>
      </c>
      <c r="C43" s="188">
        <f t="shared" si="1"/>
        <v>128.82692735175067</v>
      </c>
      <c r="D43" s="350"/>
      <c r="E43" s="190"/>
      <c r="G43" s="191" t="e">
        <f t="shared" si="2"/>
        <v>#N/A</v>
      </c>
      <c r="H43" s="24" t="e">
        <f t="shared" si="23"/>
        <v>#N/A</v>
      </c>
      <c r="I43" s="218" t="e">
        <f t="shared" si="3"/>
        <v>#N/A</v>
      </c>
      <c r="J43" s="222" t="e">
        <f t="shared" si="0"/>
        <v>#NUM!</v>
      </c>
      <c r="K43" s="24"/>
      <c r="L43" s="193" t="e">
        <f t="shared" si="4"/>
        <v>#N/A</v>
      </c>
      <c r="M43" s="194">
        <v>2</v>
      </c>
      <c r="N43" s="195" t="e">
        <f t="shared" si="5"/>
        <v>#N/A</v>
      </c>
      <c r="O43" s="363">
        <f t="shared" si="25"/>
        <v>0</v>
      </c>
      <c r="P43" s="323"/>
      <c r="Q43" s="384"/>
      <c r="R43" s="191" t="e">
        <f t="shared" si="7"/>
        <v>#N/A</v>
      </c>
      <c r="S43" s="24" t="e">
        <f t="shared" si="8"/>
        <v>#N/A</v>
      </c>
      <c r="T43" s="25" t="e">
        <f t="shared" si="9"/>
        <v>#N/A</v>
      </c>
      <c r="U43" s="394" t="e">
        <f t="shared" si="10"/>
        <v>#N/A</v>
      </c>
      <c r="V43" s="198" t="e">
        <f t="shared" si="26"/>
        <v>#N/A</v>
      </c>
      <c r="W43" s="198">
        <f t="shared" si="27"/>
        <v>0</v>
      </c>
      <c r="X43" s="199"/>
      <c r="Y43" s="198">
        <f t="shared" si="13"/>
        <v>0</v>
      </c>
      <c r="Z43" s="196">
        <f t="shared" si="24"/>
        <v>0</v>
      </c>
      <c r="AO43" s="200">
        <v>1.035</v>
      </c>
      <c r="AP43" s="37">
        <v>1.07</v>
      </c>
      <c r="AQ43" s="37"/>
      <c r="AR43" s="37"/>
      <c r="AS43" s="37">
        <v>58.5</v>
      </c>
      <c r="AT43" s="37">
        <v>45.6</v>
      </c>
      <c r="AU43" s="43"/>
    </row>
    <row r="44" spans="1:47" ht="15">
      <c r="A44" s="33">
        <v>30</v>
      </c>
      <c r="B44" s="187" t="s">
        <v>175</v>
      </c>
      <c r="C44" s="188">
        <f t="shared" si="1"/>
        <v>136.4873750888859</v>
      </c>
      <c r="D44" s="350"/>
      <c r="E44" s="190"/>
      <c r="G44" s="191" t="e">
        <f t="shared" si="2"/>
        <v>#N/A</v>
      </c>
      <c r="H44" s="24" t="e">
        <f t="shared" si="23"/>
        <v>#N/A</v>
      </c>
      <c r="I44" s="218" t="e">
        <f t="shared" si="3"/>
        <v>#N/A</v>
      </c>
      <c r="J44" s="222" t="e">
        <f t="shared" si="0"/>
        <v>#NUM!</v>
      </c>
      <c r="K44" s="24"/>
      <c r="L44" s="193" t="e">
        <f t="shared" si="4"/>
        <v>#N/A</v>
      </c>
      <c r="M44" s="194">
        <v>2</v>
      </c>
      <c r="N44" s="195" t="e">
        <f t="shared" si="5"/>
        <v>#N/A</v>
      </c>
      <c r="O44" s="363">
        <f t="shared" si="25"/>
        <v>0</v>
      </c>
      <c r="P44" s="323"/>
      <c r="Q44" s="384"/>
      <c r="R44" s="191" t="e">
        <f t="shared" si="7"/>
        <v>#N/A</v>
      </c>
      <c r="S44" s="24" t="e">
        <f t="shared" si="8"/>
        <v>#N/A</v>
      </c>
      <c r="T44" s="25" t="e">
        <f t="shared" si="9"/>
        <v>#N/A</v>
      </c>
      <c r="U44" s="394" t="e">
        <f t="shared" si="10"/>
        <v>#N/A</v>
      </c>
      <c r="V44" s="198" t="e">
        <f t="shared" si="26"/>
        <v>#N/A</v>
      </c>
      <c r="W44" s="198">
        <f t="shared" si="27"/>
        <v>0</v>
      </c>
      <c r="X44" s="199"/>
      <c r="Y44" s="198">
        <f t="shared" si="13"/>
        <v>0</v>
      </c>
      <c r="Z44" s="196">
        <f t="shared" si="24"/>
        <v>0</v>
      </c>
      <c r="AO44" s="200">
        <v>1.11</v>
      </c>
      <c r="AP44" s="37">
        <v>1.15</v>
      </c>
      <c r="AQ44" s="37"/>
      <c r="AR44" s="37"/>
      <c r="AS44" s="37">
        <v>62.6</v>
      </c>
      <c r="AT44" s="37">
        <v>49.6</v>
      </c>
      <c r="AU44" s="43"/>
    </row>
    <row r="45" spans="1:47" ht="15">
      <c r="A45" s="33">
        <v>31</v>
      </c>
      <c r="B45" s="187" t="s">
        <v>176</v>
      </c>
      <c r="C45" s="188">
        <f t="shared" si="1"/>
        <v>144.60333675264886</v>
      </c>
      <c r="D45" s="350"/>
      <c r="E45" s="190"/>
      <c r="G45" s="191" t="e">
        <f t="shared" si="2"/>
        <v>#N/A</v>
      </c>
      <c r="H45" s="24" t="e">
        <f t="shared" si="23"/>
        <v>#N/A</v>
      </c>
      <c r="I45" s="218" t="e">
        <f t="shared" si="3"/>
        <v>#N/A</v>
      </c>
      <c r="J45" s="222" t="e">
        <f t="shared" si="0"/>
        <v>#NUM!</v>
      </c>
      <c r="K45" s="24"/>
      <c r="L45" s="193" t="e">
        <f t="shared" si="4"/>
        <v>#N/A</v>
      </c>
      <c r="M45" s="194">
        <v>2</v>
      </c>
      <c r="N45" s="195" t="e">
        <f t="shared" si="5"/>
        <v>#N/A</v>
      </c>
      <c r="O45" s="363">
        <f t="shared" si="25"/>
        <v>0</v>
      </c>
      <c r="P45" s="323"/>
      <c r="Q45" s="384"/>
      <c r="R45" s="191" t="e">
        <f t="shared" si="7"/>
        <v>#N/A</v>
      </c>
      <c r="S45" s="24" t="e">
        <f t="shared" si="8"/>
        <v>#N/A</v>
      </c>
      <c r="T45" s="25" t="e">
        <f t="shared" si="9"/>
        <v>#N/A</v>
      </c>
      <c r="U45" s="394" t="e">
        <f t="shared" si="10"/>
        <v>#N/A</v>
      </c>
      <c r="V45" s="198" t="e">
        <f t="shared" si="26"/>
        <v>#N/A</v>
      </c>
      <c r="W45" s="198">
        <f t="shared" si="27"/>
        <v>0</v>
      </c>
      <c r="X45" s="199"/>
      <c r="Y45" s="198">
        <f t="shared" si="13"/>
        <v>0</v>
      </c>
      <c r="Z45" s="196">
        <f t="shared" si="24"/>
        <v>0</v>
      </c>
      <c r="AO45" s="200">
        <v>1.19</v>
      </c>
      <c r="AP45" s="37">
        <v>1.23</v>
      </c>
      <c r="AQ45" s="37"/>
      <c r="AR45" s="37"/>
      <c r="AS45" s="37"/>
      <c r="AT45" s="37"/>
      <c r="AU45" s="43"/>
    </row>
    <row r="46" spans="1:47" ht="15">
      <c r="A46" s="33">
        <v>32</v>
      </c>
      <c r="B46" s="187" t="s">
        <v>177</v>
      </c>
      <c r="C46" s="188">
        <f t="shared" si="1"/>
        <v>153.20189861064057</v>
      </c>
      <c r="D46" s="350"/>
      <c r="E46" s="190"/>
      <c r="G46" s="191" t="e">
        <f t="shared" si="2"/>
        <v>#N/A</v>
      </c>
      <c r="H46" s="24" t="e">
        <f t="shared" si="23"/>
        <v>#N/A</v>
      </c>
      <c r="I46" s="218" t="e">
        <f t="shared" si="3"/>
        <v>#N/A</v>
      </c>
      <c r="J46" s="222" t="e">
        <f t="shared" si="0"/>
        <v>#NUM!</v>
      </c>
      <c r="K46" s="24"/>
      <c r="L46" s="193" t="e">
        <f t="shared" si="4"/>
        <v>#N/A</v>
      </c>
      <c r="M46" s="194">
        <v>2</v>
      </c>
      <c r="N46" s="195" t="e">
        <f t="shared" si="5"/>
        <v>#N/A</v>
      </c>
      <c r="O46" s="363">
        <f t="shared" si="25"/>
        <v>0</v>
      </c>
      <c r="P46" s="323"/>
      <c r="Q46" s="384"/>
      <c r="R46" s="191" t="e">
        <f t="shared" si="7"/>
        <v>#N/A</v>
      </c>
      <c r="S46" s="24" t="e">
        <f t="shared" si="8"/>
        <v>#N/A</v>
      </c>
      <c r="T46" s="25" t="e">
        <f t="shared" si="9"/>
        <v>#N/A</v>
      </c>
      <c r="U46" s="394" t="e">
        <f t="shared" si="10"/>
        <v>#N/A</v>
      </c>
      <c r="V46" s="198" t="e">
        <f t="shared" si="26"/>
        <v>#N/A</v>
      </c>
      <c r="W46" s="198">
        <f t="shared" si="27"/>
        <v>0</v>
      </c>
      <c r="X46" s="199"/>
      <c r="Y46" s="198">
        <f t="shared" si="13"/>
        <v>0</v>
      </c>
      <c r="Z46" s="196">
        <f t="shared" si="24"/>
        <v>0</v>
      </c>
      <c r="AO46" s="200">
        <v>1.28</v>
      </c>
      <c r="AP46" s="37">
        <v>1.3</v>
      </c>
      <c r="AQ46" s="37"/>
      <c r="AR46" s="37"/>
      <c r="AS46" s="37"/>
      <c r="AT46" s="37"/>
      <c r="AU46" s="43"/>
    </row>
    <row r="47" spans="1:47" ht="15">
      <c r="A47" s="33">
        <v>33</v>
      </c>
      <c r="B47" s="187" t="s">
        <v>178</v>
      </c>
      <c r="C47" s="188">
        <f t="shared" si="1"/>
        <v>162.31175756374827</v>
      </c>
      <c r="D47" s="351"/>
      <c r="E47" s="190"/>
      <c r="G47" s="191" t="e">
        <f t="shared" si="2"/>
        <v>#N/A</v>
      </c>
      <c r="H47" s="24" t="e">
        <f t="shared" si="23"/>
        <v>#N/A</v>
      </c>
      <c r="I47" s="218" t="e">
        <f t="shared" si="3"/>
        <v>#N/A</v>
      </c>
      <c r="J47" s="222" t="e">
        <f t="shared" si="0"/>
        <v>#NUM!</v>
      </c>
      <c r="K47" s="24"/>
      <c r="L47" s="193" t="e">
        <f t="shared" si="4"/>
        <v>#N/A</v>
      </c>
      <c r="M47" s="194">
        <v>2</v>
      </c>
      <c r="N47" s="195" t="e">
        <f t="shared" si="5"/>
        <v>#N/A</v>
      </c>
      <c r="O47" s="363">
        <f t="shared" si="25"/>
        <v>0</v>
      </c>
      <c r="P47" s="323"/>
      <c r="Q47" s="384"/>
      <c r="R47" s="191" t="e">
        <f t="shared" si="7"/>
        <v>#N/A</v>
      </c>
      <c r="S47" s="24" t="e">
        <f t="shared" si="8"/>
        <v>#N/A</v>
      </c>
      <c r="T47" s="25" t="e">
        <f t="shared" si="9"/>
        <v>#N/A</v>
      </c>
      <c r="U47" s="394" t="e">
        <f t="shared" si="10"/>
        <v>#N/A</v>
      </c>
      <c r="V47" s="198" t="e">
        <f t="shared" si="26"/>
        <v>#N/A</v>
      </c>
      <c r="W47" s="198">
        <f t="shared" si="27"/>
        <v>0</v>
      </c>
      <c r="X47" s="199"/>
      <c r="Y47" s="198">
        <f t="shared" si="13"/>
        <v>0</v>
      </c>
      <c r="Z47" s="196">
        <f t="shared" si="24"/>
        <v>0</v>
      </c>
      <c r="AO47" s="256">
        <v>1.35</v>
      </c>
      <c r="AP47" s="257">
        <v>1.4</v>
      </c>
      <c r="AQ47" s="257"/>
      <c r="AR47" s="257"/>
      <c r="AS47" s="257"/>
      <c r="AT47" s="257"/>
      <c r="AU47" s="59"/>
    </row>
    <row r="48" spans="1:26" ht="15">
      <c r="A48" s="33">
        <v>34</v>
      </c>
      <c r="B48" s="187" t="s">
        <v>179</v>
      </c>
      <c r="C48" s="188">
        <f t="shared" si="1"/>
        <v>171.9633169193845</v>
      </c>
      <c r="D48" s="351"/>
      <c r="E48" s="190"/>
      <c r="G48" s="191" t="e">
        <f t="shared" si="2"/>
        <v>#N/A</v>
      </c>
      <c r="H48" s="24" t="e">
        <f t="shared" si="23"/>
        <v>#N/A</v>
      </c>
      <c r="I48" s="218" t="e">
        <f t="shared" si="3"/>
        <v>#N/A</v>
      </c>
      <c r="J48" s="222" t="e">
        <f t="shared" si="0"/>
        <v>#NUM!</v>
      </c>
      <c r="K48" s="24"/>
      <c r="L48" s="193" t="e">
        <f t="shared" si="4"/>
        <v>#N/A</v>
      </c>
      <c r="M48" s="194">
        <v>2</v>
      </c>
      <c r="N48" s="195" t="e">
        <f t="shared" si="5"/>
        <v>#N/A</v>
      </c>
      <c r="O48" s="363">
        <f t="shared" si="25"/>
        <v>0</v>
      </c>
      <c r="P48" s="323"/>
      <c r="Q48" s="384"/>
      <c r="R48" s="191" t="e">
        <f t="shared" si="7"/>
        <v>#N/A</v>
      </c>
      <c r="S48" s="24" t="e">
        <f t="shared" si="8"/>
        <v>#N/A</v>
      </c>
      <c r="T48" s="25" t="e">
        <f t="shared" si="9"/>
        <v>#N/A</v>
      </c>
      <c r="U48" s="394" t="e">
        <f t="shared" si="10"/>
        <v>#N/A</v>
      </c>
      <c r="V48" s="198" t="e">
        <f t="shared" si="26"/>
        <v>#N/A</v>
      </c>
      <c r="W48" s="198">
        <f t="shared" si="27"/>
        <v>0</v>
      </c>
      <c r="X48" s="199"/>
      <c r="Y48" s="198">
        <f t="shared" si="13"/>
        <v>0</v>
      </c>
      <c r="Z48" s="196">
        <f t="shared" si="24"/>
        <v>0</v>
      </c>
    </row>
    <row r="49" spans="1:45" ht="15">
      <c r="A49" s="33">
        <v>35</v>
      </c>
      <c r="B49" s="187" t="s">
        <v>180</v>
      </c>
      <c r="C49" s="188">
        <f t="shared" si="1"/>
        <v>182.1887878596993</v>
      </c>
      <c r="D49" s="350"/>
      <c r="E49" s="190"/>
      <c r="G49" s="191" t="e">
        <f t="shared" si="2"/>
        <v>#N/A</v>
      </c>
      <c r="H49" s="24" t="e">
        <f t="shared" si="23"/>
        <v>#N/A</v>
      </c>
      <c r="I49" s="218" t="e">
        <f t="shared" si="3"/>
        <v>#N/A</v>
      </c>
      <c r="J49" s="222" t="e">
        <f t="shared" si="0"/>
        <v>#NUM!</v>
      </c>
      <c r="K49" s="24"/>
      <c r="L49" s="193" t="e">
        <f t="shared" si="4"/>
        <v>#N/A</v>
      </c>
      <c r="M49" s="194">
        <v>2</v>
      </c>
      <c r="N49" s="195" t="e">
        <f t="shared" si="5"/>
        <v>#N/A</v>
      </c>
      <c r="O49" s="363">
        <f t="shared" si="25"/>
        <v>0</v>
      </c>
      <c r="P49" s="323"/>
      <c r="Q49" s="384"/>
      <c r="R49" s="191" t="e">
        <f t="shared" si="7"/>
        <v>#N/A</v>
      </c>
      <c r="S49" s="24" t="e">
        <f t="shared" si="8"/>
        <v>#N/A</v>
      </c>
      <c r="T49" s="25" t="e">
        <f t="shared" si="9"/>
        <v>#N/A</v>
      </c>
      <c r="U49" s="394" t="e">
        <f t="shared" si="10"/>
        <v>#N/A</v>
      </c>
      <c r="V49" s="198" t="e">
        <f t="shared" si="26"/>
        <v>#N/A</v>
      </c>
      <c r="W49" s="198">
        <f t="shared" si="27"/>
        <v>0</v>
      </c>
      <c r="X49" s="199"/>
      <c r="Y49" s="198">
        <f t="shared" si="13"/>
        <v>0</v>
      </c>
      <c r="Z49" s="196">
        <f t="shared" si="24"/>
        <v>0</v>
      </c>
      <c r="AO49" s="83" t="s">
        <v>181</v>
      </c>
      <c r="AP49" s="112"/>
      <c r="AQ49" s="112"/>
      <c r="AR49" s="112"/>
      <c r="AS49" s="113"/>
    </row>
    <row r="50" spans="1:45" ht="15">
      <c r="A50" s="33">
        <v>36</v>
      </c>
      <c r="B50" s="187" t="s">
        <v>182</v>
      </c>
      <c r="C50" s="188">
        <f t="shared" si="1"/>
        <v>193.02229694340622</v>
      </c>
      <c r="D50" s="351"/>
      <c r="E50" s="190"/>
      <c r="G50" s="191" t="e">
        <f t="shared" si="2"/>
        <v>#N/A</v>
      </c>
      <c r="H50" s="24" t="e">
        <f t="shared" si="23"/>
        <v>#N/A</v>
      </c>
      <c r="I50" s="218" t="e">
        <f aca="true" t="shared" si="34" ref="I50:I81">(H50*PI())/(9.81*10^12)</f>
        <v>#N/A</v>
      </c>
      <c r="J50" s="222" t="e">
        <f t="shared" si="0"/>
        <v>#NUM!</v>
      </c>
      <c r="K50" s="24"/>
      <c r="L50" s="193" t="e">
        <f t="shared" si="4"/>
        <v>#N/A</v>
      </c>
      <c r="M50" s="194">
        <v>2</v>
      </c>
      <c r="N50" s="195" t="e">
        <f aca="true" t="shared" si="35" ref="N50:N81">M50*L50</f>
        <v>#N/A</v>
      </c>
      <c r="O50" s="363">
        <f t="shared" si="25"/>
        <v>0</v>
      </c>
      <c r="P50" s="323"/>
      <c r="Q50" s="384"/>
      <c r="R50" s="191" t="e">
        <f aca="true" t="shared" si="36" ref="R50:R81">VLOOKUP(Q50,$AW$18:$AZ$38,2)</f>
        <v>#N/A</v>
      </c>
      <c r="S50" s="24" t="e">
        <f aca="true" t="shared" si="37" ref="S50:S81">VLOOKUP(Q50,$AW$19:$AZ$38,4)</f>
        <v>#N/A</v>
      </c>
      <c r="T50" s="25" t="e">
        <f t="shared" si="9"/>
        <v>#N/A</v>
      </c>
      <c r="U50" s="394" t="e">
        <f aca="true" t="shared" si="38" ref="U50:U83">IF(Q50&gt;14,VLOOKUP(T50,$AO$53:$AS$71,2),VLOOKUP(T50,$AO$18:$AP$47,2))</f>
        <v>#N/A</v>
      </c>
      <c r="V50" s="198" t="e">
        <f t="shared" si="26"/>
        <v>#N/A</v>
      </c>
      <c r="W50" s="198">
        <f t="shared" si="27"/>
        <v>0</v>
      </c>
      <c r="X50" s="199"/>
      <c r="Y50" s="198">
        <f aca="true" t="shared" si="39" ref="Y50:Y81">X50*W50</f>
        <v>0</v>
      </c>
      <c r="Z50" s="196">
        <f t="shared" si="24"/>
        <v>0</v>
      </c>
      <c r="AO50" s="110" t="s">
        <v>142</v>
      </c>
      <c r="AP50" s="110" t="s">
        <v>143</v>
      </c>
      <c r="AQ50" s="111" t="s">
        <v>144</v>
      </c>
      <c r="AR50" s="112"/>
      <c r="AS50" s="113"/>
    </row>
    <row r="51" spans="1:45" ht="15">
      <c r="A51" s="33">
        <v>37</v>
      </c>
      <c r="B51" s="187" t="s">
        <v>183</v>
      </c>
      <c r="C51" s="188">
        <f t="shared" si="1"/>
        <v>204.49999999999991</v>
      </c>
      <c r="D51" s="350"/>
      <c r="E51" s="190"/>
      <c r="G51" s="191" t="e">
        <f t="shared" si="2"/>
        <v>#N/A</v>
      </c>
      <c r="H51" s="24" t="e">
        <f t="shared" si="23"/>
        <v>#N/A</v>
      </c>
      <c r="I51" s="218" t="e">
        <f t="shared" si="34"/>
        <v>#N/A</v>
      </c>
      <c r="J51" s="222" t="e">
        <f t="shared" si="0"/>
        <v>#NUM!</v>
      </c>
      <c r="K51" s="24"/>
      <c r="L51" s="193" t="e">
        <f t="shared" si="4"/>
        <v>#N/A</v>
      </c>
      <c r="M51" s="194">
        <v>2</v>
      </c>
      <c r="N51" s="195" t="e">
        <f t="shared" si="35"/>
        <v>#N/A</v>
      </c>
      <c r="O51" s="363">
        <f t="shared" si="25"/>
        <v>0</v>
      </c>
      <c r="P51" s="323"/>
      <c r="Q51" s="384"/>
      <c r="R51" s="191" t="e">
        <f t="shared" si="36"/>
        <v>#N/A</v>
      </c>
      <c r="S51" s="24" t="e">
        <f t="shared" si="37"/>
        <v>#N/A</v>
      </c>
      <c r="T51" s="25" t="e">
        <f t="shared" si="9"/>
        <v>#N/A</v>
      </c>
      <c r="U51" s="394" t="e">
        <f t="shared" si="38"/>
        <v>#N/A</v>
      </c>
      <c r="V51" s="198" t="e">
        <f t="shared" si="26"/>
        <v>#N/A</v>
      </c>
      <c r="W51" s="198">
        <f t="shared" si="27"/>
        <v>0</v>
      </c>
      <c r="X51" s="199"/>
      <c r="Y51" s="198">
        <f t="shared" si="39"/>
        <v>0</v>
      </c>
      <c r="Z51" s="196">
        <f t="shared" si="24"/>
        <v>0</v>
      </c>
      <c r="AO51" s="134" t="s">
        <v>16</v>
      </c>
      <c r="AP51" s="134" t="s">
        <v>17</v>
      </c>
      <c r="AQ51" s="258" t="s">
        <v>184</v>
      </c>
      <c r="AR51" s="259" t="s">
        <v>185</v>
      </c>
      <c r="AS51" s="110"/>
    </row>
    <row r="52" spans="1:45" ht="15">
      <c r="A52" s="33">
        <v>38</v>
      </c>
      <c r="B52" s="187" t="s">
        <v>186</v>
      </c>
      <c r="C52" s="188">
        <f t="shared" si="1"/>
        <v>216.6602027964758</v>
      </c>
      <c r="D52" s="351"/>
      <c r="E52" s="190"/>
      <c r="G52" s="191" t="e">
        <f t="shared" si="2"/>
        <v>#N/A</v>
      </c>
      <c r="H52" s="24" t="e">
        <f t="shared" si="23"/>
        <v>#N/A</v>
      </c>
      <c r="I52" s="218" t="e">
        <f t="shared" si="34"/>
        <v>#N/A</v>
      </c>
      <c r="J52" s="222" t="e">
        <f t="shared" si="0"/>
        <v>#NUM!</v>
      </c>
      <c r="K52" s="24"/>
      <c r="L52" s="193" t="e">
        <f t="shared" si="4"/>
        <v>#N/A</v>
      </c>
      <c r="M52" s="194">
        <v>2</v>
      </c>
      <c r="N52" s="195" t="e">
        <f t="shared" si="35"/>
        <v>#N/A</v>
      </c>
      <c r="O52" s="363">
        <f t="shared" si="25"/>
        <v>0</v>
      </c>
      <c r="P52" s="323"/>
      <c r="Q52" s="384"/>
      <c r="R52" s="191" t="e">
        <f t="shared" si="36"/>
        <v>#N/A</v>
      </c>
      <c r="S52" s="24" t="e">
        <f t="shared" si="37"/>
        <v>#N/A</v>
      </c>
      <c r="T52" s="25" t="e">
        <f t="shared" si="9"/>
        <v>#N/A</v>
      </c>
      <c r="U52" s="394" t="e">
        <f t="shared" si="38"/>
        <v>#N/A</v>
      </c>
      <c r="V52" s="198" t="e">
        <f t="shared" si="26"/>
        <v>#N/A</v>
      </c>
      <c r="W52" s="198">
        <f t="shared" si="27"/>
        <v>0</v>
      </c>
      <c r="X52" s="199"/>
      <c r="Y52" s="198">
        <f t="shared" si="39"/>
        <v>0</v>
      </c>
      <c r="Z52" s="196">
        <f t="shared" si="24"/>
        <v>0</v>
      </c>
      <c r="AB52" s="36"/>
      <c r="AO52" s="169" t="s">
        <v>34</v>
      </c>
      <c r="AP52" s="169" t="s">
        <v>34</v>
      </c>
      <c r="AQ52" s="260" t="s">
        <v>187</v>
      </c>
      <c r="AR52" s="261" t="s">
        <v>19</v>
      </c>
      <c r="AS52" s="169" t="s">
        <v>188</v>
      </c>
    </row>
    <row r="53" spans="1:45" ht="15">
      <c r="A53" s="33">
        <v>39</v>
      </c>
      <c r="B53" s="187" t="s">
        <v>189</v>
      </c>
      <c r="C53" s="188">
        <f t="shared" si="1"/>
        <v>229.5434888792667</v>
      </c>
      <c r="D53" s="351"/>
      <c r="E53" s="190"/>
      <c r="G53" s="191" t="e">
        <f t="shared" si="2"/>
        <v>#N/A</v>
      </c>
      <c r="H53" s="24" t="e">
        <f t="shared" si="23"/>
        <v>#N/A</v>
      </c>
      <c r="I53" s="218" t="e">
        <f t="shared" si="34"/>
        <v>#N/A</v>
      </c>
      <c r="J53" s="222" t="e">
        <f t="shared" si="0"/>
        <v>#NUM!</v>
      </c>
      <c r="K53" s="24"/>
      <c r="L53" s="193" t="e">
        <f t="shared" si="4"/>
        <v>#N/A</v>
      </c>
      <c r="M53" s="194">
        <v>2</v>
      </c>
      <c r="N53" s="195" t="e">
        <f t="shared" si="35"/>
        <v>#N/A</v>
      </c>
      <c r="O53" s="363">
        <f t="shared" si="25"/>
        <v>0</v>
      </c>
      <c r="P53" s="323"/>
      <c r="Q53" s="384"/>
      <c r="R53" s="191" t="e">
        <f t="shared" si="36"/>
        <v>#N/A</v>
      </c>
      <c r="S53" s="24" t="e">
        <f t="shared" si="37"/>
        <v>#N/A</v>
      </c>
      <c r="T53" s="25" t="e">
        <f t="shared" si="9"/>
        <v>#N/A</v>
      </c>
      <c r="U53" s="394" t="e">
        <f t="shared" si="38"/>
        <v>#N/A</v>
      </c>
      <c r="V53" s="198" t="e">
        <f t="shared" si="26"/>
        <v>#N/A</v>
      </c>
      <c r="W53" s="198">
        <f t="shared" si="27"/>
        <v>0</v>
      </c>
      <c r="X53" s="199"/>
      <c r="Y53" s="198">
        <f t="shared" si="39"/>
        <v>0</v>
      </c>
      <c r="Z53" s="196">
        <f t="shared" si="24"/>
        <v>0</v>
      </c>
      <c r="AB53" s="246"/>
      <c r="AO53" s="200"/>
      <c r="AP53" s="43">
        <v>0.196</v>
      </c>
      <c r="AQ53" s="37"/>
      <c r="AR53" s="37"/>
      <c r="AS53" s="43"/>
    </row>
    <row r="54" spans="1:45" ht="15">
      <c r="A54" s="33">
        <v>40</v>
      </c>
      <c r="B54" s="187" t="s">
        <v>190</v>
      </c>
      <c r="C54" s="188">
        <f t="shared" si="1"/>
        <v>243.1928550180564</v>
      </c>
      <c r="D54" s="350"/>
      <c r="E54" s="190"/>
      <c r="G54" s="191" t="e">
        <f t="shared" si="2"/>
        <v>#N/A</v>
      </c>
      <c r="H54" s="24" t="e">
        <f t="shared" si="23"/>
        <v>#N/A</v>
      </c>
      <c r="I54" s="218" t="e">
        <f t="shared" si="34"/>
        <v>#N/A</v>
      </c>
      <c r="J54" s="222" t="e">
        <f t="shared" si="0"/>
        <v>#NUM!</v>
      </c>
      <c r="K54" s="24" t="e">
        <f>LOG(2*D66)</f>
        <v>#NUM!</v>
      </c>
      <c r="L54" s="193" t="e">
        <f t="shared" si="4"/>
        <v>#N/A</v>
      </c>
      <c r="M54" s="194">
        <v>2</v>
      </c>
      <c r="N54" s="195" t="e">
        <f t="shared" si="35"/>
        <v>#N/A</v>
      </c>
      <c r="O54" s="363">
        <f t="shared" si="25"/>
        <v>0</v>
      </c>
      <c r="P54" s="323"/>
      <c r="Q54" s="384"/>
      <c r="R54" s="191" t="e">
        <f t="shared" si="36"/>
        <v>#N/A</v>
      </c>
      <c r="S54" s="24" t="e">
        <f t="shared" si="37"/>
        <v>#N/A</v>
      </c>
      <c r="T54" s="25" t="e">
        <f t="shared" si="9"/>
        <v>#N/A</v>
      </c>
      <c r="U54" s="394" t="e">
        <f t="shared" si="38"/>
        <v>#N/A</v>
      </c>
      <c r="V54" s="198" t="e">
        <f t="shared" si="26"/>
        <v>#N/A</v>
      </c>
      <c r="W54" s="198">
        <f t="shared" si="27"/>
        <v>0</v>
      </c>
      <c r="X54" s="199"/>
      <c r="Y54" s="198">
        <f t="shared" si="39"/>
        <v>0</v>
      </c>
      <c r="Z54" s="196">
        <f t="shared" si="24"/>
        <v>0</v>
      </c>
      <c r="AO54" s="200">
        <f aca="true" t="shared" si="40" ref="AO54:AO66">AP53+(AP54-AP53)/2</f>
        <v>0.20500000000000002</v>
      </c>
      <c r="AP54" s="43">
        <v>0.214</v>
      </c>
      <c r="AQ54" s="37"/>
      <c r="AR54" s="37"/>
      <c r="AS54" s="43"/>
    </row>
    <row r="55" spans="1:45" ht="15">
      <c r="A55" s="33">
        <v>41</v>
      </c>
      <c r="B55" s="187" t="s">
        <v>191</v>
      </c>
      <c r="C55" s="188">
        <f t="shared" si="1"/>
        <v>257.6538547035015</v>
      </c>
      <c r="D55" s="351"/>
      <c r="E55" s="190"/>
      <c r="G55" s="191" t="e">
        <f t="shared" si="2"/>
        <v>#N/A</v>
      </c>
      <c r="H55" s="24" t="e">
        <f t="shared" si="23"/>
        <v>#N/A</v>
      </c>
      <c r="I55" s="218" t="e">
        <f t="shared" si="34"/>
        <v>#N/A</v>
      </c>
      <c r="J55" s="222" t="e">
        <f t="shared" si="0"/>
        <v>#NUM!</v>
      </c>
      <c r="K55" s="24"/>
      <c r="L55" s="193" t="e">
        <f t="shared" si="4"/>
        <v>#N/A</v>
      </c>
      <c r="M55" s="194">
        <v>2</v>
      </c>
      <c r="N55" s="195" t="e">
        <f t="shared" si="35"/>
        <v>#N/A</v>
      </c>
      <c r="O55" s="363">
        <f t="shared" si="25"/>
        <v>0</v>
      </c>
      <c r="P55" s="323"/>
      <c r="Q55" s="384"/>
      <c r="R55" s="191" t="e">
        <f t="shared" si="36"/>
        <v>#N/A</v>
      </c>
      <c r="S55" s="24" t="e">
        <f t="shared" si="37"/>
        <v>#N/A</v>
      </c>
      <c r="T55" s="25" t="e">
        <f t="shared" si="9"/>
        <v>#N/A</v>
      </c>
      <c r="U55" s="394" t="e">
        <f t="shared" si="38"/>
        <v>#N/A</v>
      </c>
      <c r="V55" s="198" t="e">
        <f t="shared" si="26"/>
        <v>#N/A</v>
      </c>
      <c r="W55" s="198">
        <f t="shared" si="27"/>
        <v>0</v>
      </c>
      <c r="X55" s="199"/>
      <c r="Y55" s="198">
        <f t="shared" si="39"/>
        <v>0</v>
      </c>
      <c r="Z55" s="196">
        <f t="shared" si="24"/>
        <v>0</v>
      </c>
      <c r="AO55" s="200">
        <f t="shared" si="40"/>
        <v>0.2225</v>
      </c>
      <c r="AP55" s="43">
        <v>0.231</v>
      </c>
      <c r="AQ55" s="37"/>
      <c r="AR55" s="37"/>
      <c r="AS55" s="43"/>
    </row>
    <row r="56" spans="1:45" ht="15">
      <c r="A56" s="33">
        <v>42</v>
      </c>
      <c r="B56" s="187" t="s">
        <v>192</v>
      </c>
      <c r="C56" s="262">
        <f t="shared" si="1"/>
        <v>272.97475017777197</v>
      </c>
      <c r="D56" s="350"/>
      <c r="E56" s="190"/>
      <c r="G56" s="191" t="e">
        <f t="shared" si="2"/>
        <v>#N/A</v>
      </c>
      <c r="H56" s="24" t="e">
        <f t="shared" si="23"/>
        <v>#N/A</v>
      </c>
      <c r="I56" s="218" t="e">
        <f t="shared" si="34"/>
        <v>#N/A</v>
      </c>
      <c r="J56" s="222" t="e">
        <f t="shared" si="0"/>
        <v>#NUM!</v>
      </c>
      <c r="K56" s="24"/>
      <c r="L56" s="193" t="e">
        <f t="shared" si="4"/>
        <v>#N/A</v>
      </c>
      <c r="M56" s="194">
        <v>2</v>
      </c>
      <c r="N56" s="195" t="e">
        <f t="shared" si="35"/>
        <v>#N/A</v>
      </c>
      <c r="O56" s="363">
        <f t="shared" si="25"/>
        <v>0</v>
      </c>
      <c r="P56" s="323"/>
      <c r="Q56" s="384"/>
      <c r="R56" s="191" t="e">
        <f t="shared" si="36"/>
        <v>#N/A</v>
      </c>
      <c r="S56" s="24" t="e">
        <f t="shared" si="37"/>
        <v>#N/A</v>
      </c>
      <c r="T56" s="25" t="e">
        <f t="shared" si="9"/>
        <v>#N/A</v>
      </c>
      <c r="U56" s="394" t="e">
        <f t="shared" si="38"/>
        <v>#N/A</v>
      </c>
      <c r="V56" s="198" t="e">
        <f t="shared" si="26"/>
        <v>#N/A</v>
      </c>
      <c r="W56" s="198">
        <f t="shared" si="27"/>
        <v>0</v>
      </c>
      <c r="X56" s="199"/>
      <c r="Y56" s="198">
        <f t="shared" si="39"/>
        <v>0</v>
      </c>
      <c r="Z56" s="196">
        <f t="shared" si="24"/>
        <v>0</v>
      </c>
      <c r="AO56" s="200">
        <f t="shared" si="40"/>
        <v>0.2425</v>
      </c>
      <c r="AP56" s="43">
        <v>0.254</v>
      </c>
      <c r="AQ56" s="37"/>
      <c r="AR56" s="37"/>
      <c r="AS56" s="43"/>
    </row>
    <row r="57" spans="1:45" ht="15">
      <c r="A57" s="33">
        <v>43</v>
      </c>
      <c r="B57" s="187" t="s">
        <v>193</v>
      </c>
      <c r="C57" s="262">
        <f t="shared" si="1"/>
        <v>289.2066735052979</v>
      </c>
      <c r="D57" s="351"/>
      <c r="E57" s="190"/>
      <c r="G57" s="191" t="e">
        <f t="shared" si="2"/>
        <v>#N/A</v>
      </c>
      <c r="H57" s="24" t="e">
        <f t="shared" si="23"/>
        <v>#N/A</v>
      </c>
      <c r="I57" s="218" t="e">
        <f t="shared" si="34"/>
        <v>#N/A</v>
      </c>
      <c r="J57" s="222" t="e">
        <f t="shared" si="0"/>
        <v>#NUM!</v>
      </c>
      <c r="K57" s="24"/>
      <c r="L57" s="193" t="e">
        <f t="shared" si="4"/>
        <v>#N/A</v>
      </c>
      <c r="M57" s="194">
        <v>2</v>
      </c>
      <c r="N57" s="195" t="e">
        <f t="shared" si="35"/>
        <v>#N/A</v>
      </c>
      <c r="O57" s="363">
        <f t="shared" si="25"/>
        <v>0</v>
      </c>
      <c r="P57" s="323"/>
      <c r="Q57" s="384"/>
      <c r="R57" s="191" t="e">
        <f t="shared" si="36"/>
        <v>#N/A</v>
      </c>
      <c r="S57" s="24" t="e">
        <f t="shared" si="37"/>
        <v>#N/A</v>
      </c>
      <c r="T57" s="25" t="e">
        <f t="shared" si="9"/>
        <v>#N/A</v>
      </c>
      <c r="U57" s="394" t="e">
        <f t="shared" si="38"/>
        <v>#N/A</v>
      </c>
      <c r="V57" s="198" t="e">
        <f t="shared" si="26"/>
        <v>#N/A</v>
      </c>
      <c r="W57" s="198">
        <f t="shared" si="27"/>
        <v>0</v>
      </c>
      <c r="X57" s="199"/>
      <c r="Y57" s="198">
        <f t="shared" si="39"/>
        <v>0</v>
      </c>
      <c r="Z57" s="196">
        <f t="shared" si="24"/>
        <v>0</v>
      </c>
      <c r="AO57" s="200">
        <f t="shared" si="40"/>
        <v>0.267</v>
      </c>
      <c r="AP57" s="43">
        <v>0.28</v>
      </c>
      <c r="AQ57" s="37"/>
      <c r="AR57" s="37"/>
      <c r="AS57" s="43"/>
    </row>
    <row r="58" spans="1:45" ht="15">
      <c r="A58" s="33">
        <v>44</v>
      </c>
      <c r="B58" s="187" t="s">
        <v>194</v>
      </c>
      <c r="C58" s="262">
        <f t="shared" si="1"/>
        <v>306.4037972212813</v>
      </c>
      <c r="D58" s="351"/>
      <c r="E58" s="190"/>
      <c r="G58" s="191" t="e">
        <f t="shared" si="2"/>
        <v>#N/A</v>
      </c>
      <c r="H58" s="24" t="e">
        <f t="shared" si="23"/>
        <v>#N/A</v>
      </c>
      <c r="I58" s="218" t="e">
        <f t="shared" si="34"/>
        <v>#N/A</v>
      </c>
      <c r="J58" s="222" t="e">
        <f t="shared" si="0"/>
        <v>#NUM!</v>
      </c>
      <c r="K58" s="24"/>
      <c r="L58" s="193" t="e">
        <f t="shared" si="4"/>
        <v>#N/A</v>
      </c>
      <c r="M58" s="194">
        <v>2</v>
      </c>
      <c r="N58" s="195" t="e">
        <f t="shared" si="35"/>
        <v>#N/A</v>
      </c>
      <c r="O58" s="363">
        <f t="shared" si="25"/>
        <v>0</v>
      </c>
      <c r="P58" s="323"/>
      <c r="Q58" s="384"/>
      <c r="R58" s="191" t="e">
        <f t="shared" si="36"/>
        <v>#N/A</v>
      </c>
      <c r="S58" s="24" t="e">
        <f t="shared" si="37"/>
        <v>#N/A</v>
      </c>
      <c r="T58" s="25" t="e">
        <f t="shared" si="9"/>
        <v>#N/A</v>
      </c>
      <c r="U58" s="394" t="e">
        <f t="shared" si="38"/>
        <v>#N/A</v>
      </c>
      <c r="V58" s="198" t="e">
        <f t="shared" si="26"/>
        <v>#N/A</v>
      </c>
      <c r="W58" s="198">
        <f t="shared" si="27"/>
        <v>0</v>
      </c>
      <c r="X58" s="199"/>
      <c r="Y58" s="198">
        <f t="shared" si="39"/>
        <v>0</v>
      </c>
      <c r="Z58" s="196">
        <f t="shared" si="24"/>
        <v>0</v>
      </c>
      <c r="AO58" s="200">
        <f t="shared" si="40"/>
        <v>0.29000000000000004</v>
      </c>
      <c r="AP58" s="43">
        <v>0.3</v>
      </c>
      <c r="AQ58" s="37"/>
      <c r="AR58" s="37"/>
      <c r="AS58" s="43"/>
    </row>
    <row r="59" spans="1:45" ht="15">
      <c r="A59" s="33">
        <v>45</v>
      </c>
      <c r="B59" s="187" t="s">
        <v>195</v>
      </c>
      <c r="C59" s="262">
        <f t="shared" si="1"/>
        <v>324.6235151274967</v>
      </c>
      <c r="D59" s="351"/>
      <c r="E59" s="190"/>
      <c r="G59" s="191" t="e">
        <f t="shared" si="2"/>
        <v>#N/A</v>
      </c>
      <c r="H59" s="24" t="e">
        <f t="shared" si="23"/>
        <v>#N/A</v>
      </c>
      <c r="I59" s="218" t="e">
        <f t="shared" si="34"/>
        <v>#N/A</v>
      </c>
      <c r="J59" s="222" t="e">
        <f t="shared" si="0"/>
        <v>#NUM!</v>
      </c>
      <c r="K59" s="24"/>
      <c r="L59" s="193" t="e">
        <f t="shared" si="4"/>
        <v>#N/A</v>
      </c>
      <c r="M59" s="194">
        <v>2</v>
      </c>
      <c r="N59" s="195" t="e">
        <f t="shared" si="35"/>
        <v>#N/A</v>
      </c>
      <c r="O59" s="363">
        <f t="shared" si="25"/>
        <v>0</v>
      </c>
      <c r="P59" s="323"/>
      <c r="Q59" s="384"/>
      <c r="R59" s="191" t="e">
        <f t="shared" si="36"/>
        <v>#N/A</v>
      </c>
      <c r="S59" s="24" t="e">
        <f t="shared" si="37"/>
        <v>#N/A</v>
      </c>
      <c r="T59" s="25" t="e">
        <f t="shared" si="9"/>
        <v>#N/A</v>
      </c>
      <c r="U59" s="394" t="e">
        <f t="shared" si="38"/>
        <v>#N/A</v>
      </c>
      <c r="V59" s="198" t="e">
        <f t="shared" si="26"/>
        <v>#N/A</v>
      </c>
      <c r="W59" s="198">
        <f t="shared" si="27"/>
        <v>0</v>
      </c>
      <c r="X59" s="199"/>
      <c r="Y59" s="198">
        <f t="shared" si="39"/>
        <v>0</v>
      </c>
      <c r="Z59" s="196">
        <f t="shared" si="24"/>
        <v>0</v>
      </c>
      <c r="AO59" s="200">
        <f t="shared" si="40"/>
        <v>0.315</v>
      </c>
      <c r="AP59" s="43">
        <v>0.33</v>
      </c>
      <c r="AQ59" s="37"/>
      <c r="AR59" s="37"/>
      <c r="AS59" s="43"/>
    </row>
    <row r="60" spans="1:45" ht="15">
      <c r="A60" s="33">
        <v>46</v>
      </c>
      <c r="B60" s="187" t="s">
        <v>196</v>
      </c>
      <c r="C60" s="262">
        <f t="shared" si="1"/>
        <v>343.9266338387692</v>
      </c>
      <c r="D60" s="351"/>
      <c r="E60" s="190"/>
      <c r="G60" s="191" t="e">
        <f t="shared" si="2"/>
        <v>#N/A</v>
      </c>
      <c r="H60" s="24" t="e">
        <f t="shared" si="23"/>
        <v>#N/A</v>
      </c>
      <c r="I60" s="218" t="e">
        <f t="shared" si="34"/>
        <v>#N/A</v>
      </c>
      <c r="J60" s="222" t="e">
        <f t="shared" si="0"/>
        <v>#NUM!</v>
      </c>
      <c r="K60" s="24"/>
      <c r="L60" s="193" t="e">
        <f t="shared" si="4"/>
        <v>#N/A</v>
      </c>
      <c r="M60" s="194">
        <v>2</v>
      </c>
      <c r="N60" s="195" t="e">
        <f t="shared" si="35"/>
        <v>#N/A</v>
      </c>
      <c r="O60" s="363">
        <f t="shared" si="25"/>
        <v>0</v>
      </c>
      <c r="P60" s="323"/>
      <c r="Q60" s="384"/>
      <c r="R60" s="191" t="e">
        <f t="shared" si="36"/>
        <v>#N/A</v>
      </c>
      <c r="S60" s="24" t="e">
        <f t="shared" si="37"/>
        <v>#N/A</v>
      </c>
      <c r="T60" s="25" t="e">
        <f t="shared" si="9"/>
        <v>#N/A</v>
      </c>
      <c r="U60" s="394" t="e">
        <f t="shared" si="38"/>
        <v>#N/A</v>
      </c>
      <c r="V60" s="198" t="e">
        <f t="shared" si="26"/>
        <v>#N/A</v>
      </c>
      <c r="W60" s="198">
        <f t="shared" si="27"/>
        <v>0</v>
      </c>
      <c r="X60" s="199"/>
      <c r="Y60" s="198">
        <f t="shared" si="39"/>
        <v>0</v>
      </c>
      <c r="Z60" s="196">
        <f t="shared" si="24"/>
        <v>0</v>
      </c>
      <c r="AO60" s="200">
        <f t="shared" si="40"/>
        <v>0.3425</v>
      </c>
      <c r="AP60" s="43">
        <v>0.355</v>
      </c>
      <c r="AQ60" s="37"/>
      <c r="AR60" s="37"/>
      <c r="AS60" s="43"/>
    </row>
    <row r="61" spans="1:45" ht="15">
      <c r="A61" s="33">
        <v>47</v>
      </c>
      <c r="B61" s="187" t="s">
        <v>197</v>
      </c>
      <c r="C61" s="262">
        <f t="shared" si="1"/>
        <v>364.37757571939875</v>
      </c>
      <c r="D61" s="351"/>
      <c r="E61" s="190"/>
      <c r="G61" s="191" t="e">
        <f t="shared" si="2"/>
        <v>#N/A</v>
      </c>
      <c r="H61" s="24" t="e">
        <f t="shared" si="23"/>
        <v>#N/A</v>
      </c>
      <c r="I61" s="218" t="e">
        <f t="shared" si="34"/>
        <v>#N/A</v>
      </c>
      <c r="J61" s="222" t="e">
        <f t="shared" si="0"/>
        <v>#NUM!</v>
      </c>
      <c r="K61" s="24"/>
      <c r="L61" s="193" t="e">
        <f t="shared" si="4"/>
        <v>#N/A</v>
      </c>
      <c r="M61" s="194">
        <v>2</v>
      </c>
      <c r="N61" s="195" t="e">
        <f t="shared" si="35"/>
        <v>#N/A</v>
      </c>
      <c r="O61" s="363">
        <f t="shared" si="25"/>
        <v>0</v>
      </c>
      <c r="P61" s="323"/>
      <c r="Q61" s="384"/>
      <c r="R61" s="191" t="e">
        <f t="shared" si="36"/>
        <v>#N/A</v>
      </c>
      <c r="S61" s="24" t="e">
        <f t="shared" si="37"/>
        <v>#N/A</v>
      </c>
      <c r="T61" s="25" t="e">
        <f t="shared" si="9"/>
        <v>#N/A</v>
      </c>
      <c r="U61" s="394" t="e">
        <f t="shared" si="38"/>
        <v>#N/A</v>
      </c>
      <c r="V61" s="198" t="e">
        <f t="shared" si="26"/>
        <v>#N/A</v>
      </c>
      <c r="W61" s="198">
        <f t="shared" si="27"/>
        <v>0</v>
      </c>
      <c r="X61" s="199"/>
      <c r="Y61" s="198">
        <f t="shared" si="39"/>
        <v>0</v>
      </c>
      <c r="Z61" s="196">
        <f t="shared" si="24"/>
        <v>0</v>
      </c>
      <c r="AO61" s="200">
        <f t="shared" si="40"/>
        <v>0.3675</v>
      </c>
      <c r="AP61" s="263">
        <v>0.38</v>
      </c>
      <c r="AQ61" s="37"/>
      <c r="AR61" s="37"/>
      <c r="AS61" s="43"/>
    </row>
    <row r="62" spans="1:45" ht="15">
      <c r="A62" s="33">
        <v>48</v>
      </c>
      <c r="B62" s="187" t="s">
        <v>198</v>
      </c>
      <c r="C62" s="262">
        <f t="shared" si="1"/>
        <v>386.0445938868126</v>
      </c>
      <c r="D62" s="351"/>
      <c r="E62" s="190"/>
      <c r="G62" s="191" t="e">
        <f t="shared" si="2"/>
        <v>#N/A</v>
      </c>
      <c r="H62" s="24" t="e">
        <f t="shared" si="23"/>
        <v>#N/A</v>
      </c>
      <c r="I62" s="218" t="e">
        <f t="shared" si="34"/>
        <v>#N/A</v>
      </c>
      <c r="J62" s="222" t="e">
        <f aca="true" t="shared" si="41" ref="J62:J85">LOG(D62)</f>
        <v>#NUM!</v>
      </c>
      <c r="K62" s="24"/>
      <c r="L62" s="193" t="e">
        <f t="shared" si="4"/>
        <v>#N/A</v>
      </c>
      <c r="M62" s="194">
        <v>2</v>
      </c>
      <c r="N62" s="195" t="e">
        <f t="shared" si="35"/>
        <v>#N/A</v>
      </c>
      <c r="O62" s="363">
        <f t="shared" si="25"/>
        <v>0</v>
      </c>
      <c r="P62" s="323"/>
      <c r="Q62" s="384"/>
      <c r="R62" s="191" t="e">
        <f t="shared" si="36"/>
        <v>#N/A</v>
      </c>
      <c r="S62" s="24" t="e">
        <f t="shared" si="37"/>
        <v>#N/A</v>
      </c>
      <c r="T62" s="25" t="e">
        <f t="shared" si="9"/>
        <v>#N/A</v>
      </c>
      <c r="U62" s="394" t="e">
        <f t="shared" si="38"/>
        <v>#N/A</v>
      </c>
      <c r="V62" s="198" t="e">
        <f t="shared" si="26"/>
        <v>#N/A</v>
      </c>
      <c r="W62" s="198">
        <f t="shared" si="27"/>
        <v>0</v>
      </c>
      <c r="X62" s="199"/>
      <c r="Y62" s="198">
        <f t="shared" si="39"/>
        <v>0</v>
      </c>
      <c r="Z62" s="196">
        <f t="shared" si="24"/>
        <v>0</v>
      </c>
      <c r="AO62" s="200">
        <f t="shared" si="40"/>
        <v>0.39</v>
      </c>
      <c r="AP62" s="43">
        <v>0.4</v>
      </c>
      <c r="AQ62" s="37"/>
      <c r="AR62" s="37"/>
      <c r="AS62" s="43"/>
    </row>
    <row r="63" spans="1:45" ht="15">
      <c r="A63" s="33">
        <v>49</v>
      </c>
      <c r="B63" s="187" t="s">
        <v>199</v>
      </c>
      <c r="C63" s="262">
        <f>B10</f>
        <v>409</v>
      </c>
      <c r="D63" s="350"/>
      <c r="E63" s="190"/>
      <c r="G63" s="191" t="e">
        <f t="shared" si="2"/>
        <v>#N/A</v>
      </c>
      <c r="H63" s="24" t="e">
        <f t="shared" si="23"/>
        <v>#N/A</v>
      </c>
      <c r="I63" s="218" t="e">
        <f t="shared" si="34"/>
        <v>#N/A</v>
      </c>
      <c r="J63" s="222" t="e">
        <f t="shared" si="41"/>
        <v>#NUM!</v>
      </c>
      <c r="K63" s="24"/>
      <c r="L63" s="193" t="e">
        <f t="shared" si="4"/>
        <v>#N/A</v>
      </c>
      <c r="M63" s="194">
        <v>2</v>
      </c>
      <c r="N63" s="195" t="e">
        <f t="shared" si="35"/>
        <v>#N/A</v>
      </c>
      <c r="O63" s="363">
        <f t="shared" si="25"/>
        <v>0</v>
      </c>
      <c r="P63" s="323"/>
      <c r="Q63" s="384"/>
      <c r="R63" s="191" t="e">
        <f t="shared" si="36"/>
        <v>#N/A</v>
      </c>
      <c r="S63" s="24" t="e">
        <f t="shared" si="37"/>
        <v>#N/A</v>
      </c>
      <c r="T63" s="25" t="e">
        <f t="shared" si="9"/>
        <v>#N/A</v>
      </c>
      <c r="U63" s="394" t="e">
        <f t="shared" si="38"/>
        <v>#N/A</v>
      </c>
      <c r="V63" s="198" t="e">
        <f t="shared" si="26"/>
        <v>#N/A</v>
      </c>
      <c r="W63" s="198">
        <f t="shared" si="27"/>
        <v>0</v>
      </c>
      <c r="X63" s="199"/>
      <c r="Y63" s="198">
        <f t="shared" si="39"/>
        <v>0</v>
      </c>
      <c r="Z63" s="196">
        <f t="shared" si="24"/>
        <v>0</v>
      </c>
      <c r="AO63" s="200">
        <f t="shared" si="40"/>
        <v>0.42500000000000004</v>
      </c>
      <c r="AP63" s="43">
        <v>0.45</v>
      </c>
      <c r="AQ63" s="37"/>
      <c r="AR63" s="37"/>
      <c r="AS63" s="43"/>
    </row>
    <row r="64" spans="1:45" ht="15">
      <c r="A64" s="33">
        <v>50</v>
      </c>
      <c r="B64" s="187" t="s">
        <v>200</v>
      </c>
      <c r="C64" s="262">
        <f aca="true" t="shared" si="42" ref="C64:C83">Frequency_multiplier*C63</f>
        <v>433.3204055929518</v>
      </c>
      <c r="D64" s="351"/>
      <c r="E64" s="190"/>
      <c r="G64" s="191" t="e">
        <f t="shared" si="2"/>
        <v>#N/A</v>
      </c>
      <c r="H64" s="24" t="e">
        <f t="shared" si="23"/>
        <v>#N/A</v>
      </c>
      <c r="I64" s="218" t="e">
        <f t="shared" si="34"/>
        <v>#N/A</v>
      </c>
      <c r="J64" s="222" t="e">
        <f t="shared" si="41"/>
        <v>#NUM!</v>
      </c>
      <c r="K64" s="24"/>
      <c r="L64" s="193" t="e">
        <f t="shared" si="4"/>
        <v>#N/A</v>
      </c>
      <c r="M64" s="194">
        <v>2</v>
      </c>
      <c r="N64" s="195" t="e">
        <f t="shared" si="35"/>
        <v>#N/A</v>
      </c>
      <c r="O64" s="363">
        <f t="shared" si="25"/>
        <v>0</v>
      </c>
      <c r="P64" s="323"/>
      <c r="Q64" s="384"/>
      <c r="R64" s="191" t="e">
        <f t="shared" si="36"/>
        <v>#N/A</v>
      </c>
      <c r="S64" s="24" t="e">
        <f t="shared" si="37"/>
        <v>#N/A</v>
      </c>
      <c r="T64" s="25" t="e">
        <f t="shared" si="9"/>
        <v>#N/A</v>
      </c>
      <c r="U64" s="394" t="e">
        <f t="shared" si="38"/>
        <v>#N/A</v>
      </c>
      <c r="V64" s="198" t="e">
        <f t="shared" si="26"/>
        <v>#N/A</v>
      </c>
      <c r="W64" s="198">
        <f t="shared" si="27"/>
        <v>0</v>
      </c>
      <c r="X64" s="199"/>
      <c r="Y64" s="198">
        <f t="shared" si="39"/>
        <v>0</v>
      </c>
      <c r="Z64" s="196">
        <f t="shared" si="24"/>
        <v>0</v>
      </c>
      <c r="AO64" s="200">
        <f t="shared" si="40"/>
        <v>0.475</v>
      </c>
      <c r="AP64" s="43">
        <v>0.5</v>
      </c>
      <c r="AQ64" s="37"/>
      <c r="AR64" s="37"/>
      <c r="AS64" s="43"/>
    </row>
    <row r="65" spans="1:45" ht="15">
      <c r="A65" s="233">
        <v>51</v>
      </c>
      <c r="B65" s="234" t="s">
        <v>201</v>
      </c>
      <c r="C65" s="264">
        <f t="shared" si="42"/>
        <v>459.0869777585336</v>
      </c>
      <c r="D65" s="351"/>
      <c r="E65" s="190"/>
      <c r="G65" s="191" t="e">
        <f t="shared" si="2"/>
        <v>#N/A</v>
      </c>
      <c r="H65" s="24" t="e">
        <f t="shared" si="23"/>
        <v>#N/A</v>
      </c>
      <c r="I65" s="218" t="e">
        <f t="shared" si="34"/>
        <v>#N/A</v>
      </c>
      <c r="J65" s="222" t="e">
        <f t="shared" si="41"/>
        <v>#NUM!</v>
      </c>
      <c r="K65" s="24"/>
      <c r="L65" s="193" t="e">
        <f t="shared" si="4"/>
        <v>#N/A</v>
      </c>
      <c r="M65" s="194">
        <v>2</v>
      </c>
      <c r="N65" s="195" t="e">
        <f t="shared" si="35"/>
        <v>#N/A</v>
      </c>
      <c r="O65" s="363">
        <f t="shared" si="25"/>
        <v>0</v>
      </c>
      <c r="P65" s="323"/>
      <c r="Q65" s="384"/>
      <c r="R65" s="191" t="e">
        <f t="shared" si="36"/>
        <v>#N/A</v>
      </c>
      <c r="S65" s="24" t="e">
        <f t="shared" si="37"/>
        <v>#N/A</v>
      </c>
      <c r="T65" s="25" t="e">
        <f t="shared" si="9"/>
        <v>#N/A</v>
      </c>
      <c r="U65" s="394" t="e">
        <f t="shared" si="38"/>
        <v>#N/A</v>
      </c>
      <c r="V65" s="198" t="e">
        <f t="shared" si="26"/>
        <v>#N/A</v>
      </c>
      <c r="W65" s="198">
        <f t="shared" si="27"/>
        <v>0</v>
      </c>
      <c r="X65" s="199"/>
      <c r="Y65" s="198">
        <f t="shared" si="39"/>
        <v>0</v>
      </c>
      <c r="Z65" s="196">
        <f t="shared" si="24"/>
        <v>0</v>
      </c>
      <c r="AO65" s="200">
        <f t="shared" si="40"/>
        <v>0.53</v>
      </c>
      <c r="AP65" s="43">
        <v>0.56</v>
      </c>
      <c r="AQ65" s="37"/>
      <c r="AR65" s="37"/>
      <c r="AS65" s="43"/>
    </row>
    <row r="66" spans="1:45" ht="15">
      <c r="A66" s="33">
        <v>52</v>
      </c>
      <c r="B66" s="187" t="s">
        <v>202</v>
      </c>
      <c r="C66" s="262">
        <f t="shared" si="42"/>
        <v>486.385710036113</v>
      </c>
      <c r="D66" s="351"/>
      <c r="E66" s="190"/>
      <c r="G66" s="191" t="e">
        <f t="shared" si="2"/>
        <v>#N/A</v>
      </c>
      <c r="H66" s="24" t="e">
        <f t="shared" si="23"/>
        <v>#N/A</v>
      </c>
      <c r="I66" s="218" t="e">
        <f t="shared" si="34"/>
        <v>#N/A</v>
      </c>
      <c r="J66" s="222" t="e">
        <f t="shared" si="41"/>
        <v>#NUM!</v>
      </c>
      <c r="K66" s="24" t="e">
        <f>J66</f>
        <v>#NUM!</v>
      </c>
      <c r="L66" s="193" t="e">
        <f t="shared" si="4"/>
        <v>#N/A</v>
      </c>
      <c r="M66" s="194">
        <v>2</v>
      </c>
      <c r="N66" s="195" t="e">
        <f t="shared" si="35"/>
        <v>#N/A</v>
      </c>
      <c r="O66" s="363">
        <f t="shared" si="25"/>
        <v>0</v>
      </c>
      <c r="P66" s="323"/>
      <c r="Q66" s="384"/>
      <c r="R66" s="191" t="e">
        <f t="shared" si="36"/>
        <v>#N/A</v>
      </c>
      <c r="S66" s="24" t="e">
        <f t="shared" si="37"/>
        <v>#N/A</v>
      </c>
      <c r="T66" s="25" t="e">
        <f t="shared" si="9"/>
        <v>#N/A</v>
      </c>
      <c r="U66" s="394" t="e">
        <f t="shared" si="38"/>
        <v>#N/A</v>
      </c>
      <c r="V66" s="198" t="e">
        <f t="shared" si="26"/>
        <v>#N/A</v>
      </c>
      <c r="W66" s="198">
        <f t="shared" si="27"/>
        <v>0</v>
      </c>
      <c r="X66" s="199"/>
      <c r="Y66" s="198">
        <f t="shared" si="39"/>
        <v>0</v>
      </c>
      <c r="Z66" s="196">
        <f t="shared" si="24"/>
        <v>0</v>
      </c>
      <c r="AO66" s="200">
        <f t="shared" si="40"/>
        <v>0.5800000000000001</v>
      </c>
      <c r="AP66" s="43">
        <v>0.6</v>
      </c>
      <c r="AQ66" s="37"/>
      <c r="AR66" s="37"/>
      <c r="AS66" s="43"/>
    </row>
    <row r="67" spans="1:45" ht="15">
      <c r="A67" s="33">
        <v>53</v>
      </c>
      <c r="B67" s="187" t="s">
        <v>203</v>
      </c>
      <c r="C67" s="262">
        <f t="shared" si="42"/>
        <v>515.3077094070032</v>
      </c>
      <c r="D67" s="351"/>
      <c r="E67" s="190"/>
      <c r="G67" s="191" t="e">
        <f t="shared" si="2"/>
        <v>#N/A</v>
      </c>
      <c r="H67" s="24" t="e">
        <f t="shared" si="23"/>
        <v>#N/A</v>
      </c>
      <c r="I67" s="218" t="e">
        <f t="shared" si="34"/>
        <v>#N/A</v>
      </c>
      <c r="J67" s="222" t="e">
        <f t="shared" si="41"/>
        <v>#NUM!</v>
      </c>
      <c r="K67" s="24"/>
      <c r="L67" s="193" t="e">
        <f t="shared" si="4"/>
        <v>#N/A</v>
      </c>
      <c r="M67" s="194">
        <v>2</v>
      </c>
      <c r="N67" s="195" t="e">
        <f t="shared" si="35"/>
        <v>#N/A</v>
      </c>
      <c r="O67" s="363">
        <f t="shared" si="25"/>
        <v>0</v>
      </c>
      <c r="P67" s="323"/>
      <c r="Q67" s="384"/>
      <c r="R67" s="191" t="e">
        <f t="shared" si="36"/>
        <v>#N/A</v>
      </c>
      <c r="S67" s="24" t="e">
        <f t="shared" si="37"/>
        <v>#N/A</v>
      </c>
      <c r="T67" s="25" t="e">
        <f t="shared" si="9"/>
        <v>#N/A</v>
      </c>
      <c r="U67" s="394" t="e">
        <f t="shared" si="38"/>
        <v>#N/A</v>
      </c>
      <c r="V67" s="198" t="e">
        <f t="shared" si="26"/>
        <v>#N/A</v>
      </c>
      <c r="W67" s="198">
        <f t="shared" si="27"/>
        <v>0</v>
      </c>
      <c r="X67" s="199"/>
      <c r="Y67" s="198">
        <f t="shared" si="39"/>
        <v>0</v>
      </c>
      <c r="Z67" s="196">
        <f t="shared" si="24"/>
        <v>0</v>
      </c>
      <c r="AO67" s="200"/>
      <c r="AP67" s="43"/>
      <c r="AQ67" s="37"/>
      <c r="AR67" s="37"/>
      <c r="AS67" s="43"/>
    </row>
    <row r="68" spans="1:45" ht="15">
      <c r="A68" s="33">
        <v>54</v>
      </c>
      <c r="B68" s="187" t="s">
        <v>204</v>
      </c>
      <c r="C68" s="262">
        <f t="shared" si="42"/>
        <v>545.9495003555442</v>
      </c>
      <c r="D68" s="351"/>
      <c r="E68" s="190"/>
      <c r="G68" s="191" t="e">
        <f t="shared" si="2"/>
        <v>#N/A</v>
      </c>
      <c r="H68" s="24" t="e">
        <f t="shared" si="23"/>
        <v>#N/A</v>
      </c>
      <c r="I68" s="218" t="e">
        <f t="shared" si="34"/>
        <v>#N/A</v>
      </c>
      <c r="J68" s="222" t="e">
        <f t="shared" si="41"/>
        <v>#NUM!</v>
      </c>
      <c r="K68" s="24"/>
      <c r="L68" s="193" t="e">
        <f t="shared" si="4"/>
        <v>#N/A</v>
      </c>
      <c r="M68" s="194">
        <v>2</v>
      </c>
      <c r="N68" s="195" t="e">
        <f t="shared" si="35"/>
        <v>#N/A</v>
      </c>
      <c r="O68" s="363">
        <f t="shared" si="25"/>
        <v>0</v>
      </c>
      <c r="P68" s="323"/>
      <c r="Q68" s="384"/>
      <c r="R68" s="191" t="e">
        <f t="shared" si="36"/>
        <v>#N/A</v>
      </c>
      <c r="S68" s="24" t="e">
        <f t="shared" si="37"/>
        <v>#N/A</v>
      </c>
      <c r="T68" s="25" t="e">
        <f t="shared" si="9"/>
        <v>#N/A</v>
      </c>
      <c r="U68" s="394" t="e">
        <f t="shared" si="38"/>
        <v>#N/A</v>
      </c>
      <c r="V68" s="198" t="e">
        <f t="shared" si="26"/>
        <v>#N/A</v>
      </c>
      <c r="W68" s="198">
        <f t="shared" si="27"/>
        <v>0</v>
      </c>
      <c r="X68" s="199"/>
      <c r="Y68" s="198">
        <f t="shared" si="39"/>
        <v>0</v>
      </c>
      <c r="Z68" s="196">
        <f t="shared" si="24"/>
        <v>0</v>
      </c>
      <c r="AO68" s="200"/>
      <c r="AP68" s="43"/>
      <c r="AQ68" s="37"/>
      <c r="AR68" s="37"/>
      <c r="AS68" s="43"/>
    </row>
    <row r="69" spans="1:45" ht="15">
      <c r="A69" s="33">
        <v>55</v>
      </c>
      <c r="B69" s="187" t="s">
        <v>84</v>
      </c>
      <c r="C69" s="262">
        <f t="shared" si="42"/>
        <v>578.413347010596</v>
      </c>
      <c r="D69" s="351"/>
      <c r="E69" s="190"/>
      <c r="G69" s="191" t="e">
        <f t="shared" si="2"/>
        <v>#N/A</v>
      </c>
      <c r="H69" s="24" t="e">
        <f t="shared" si="23"/>
        <v>#N/A</v>
      </c>
      <c r="I69" s="218" t="e">
        <f t="shared" si="34"/>
        <v>#N/A</v>
      </c>
      <c r="J69" s="222" t="e">
        <f t="shared" si="41"/>
        <v>#NUM!</v>
      </c>
      <c r="K69" s="24"/>
      <c r="L69" s="193" t="e">
        <f t="shared" si="4"/>
        <v>#N/A</v>
      </c>
      <c r="M69" s="194">
        <v>2</v>
      </c>
      <c r="N69" s="195" t="e">
        <f t="shared" si="35"/>
        <v>#N/A</v>
      </c>
      <c r="O69" s="363">
        <f t="shared" si="25"/>
        <v>0</v>
      </c>
      <c r="P69" s="323"/>
      <c r="Q69" s="384"/>
      <c r="R69" s="191" t="e">
        <f t="shared" si="36"/>
        <v>#N/A</v>
      </c>
      <c r="S69" s="24" t="e">
        <f t="shared" si="37"/>
        <v>#N/A</v>
      </c>
      <c r="T69" s="25" t="e">
        <f t="shared" si="9"/>
        <v>#N/A</v>
      </c>
      <c r="U69" s="394" t="e">
        <f t="shared" si="38"/>
        <v>#N/A</v>
      </c>
      <c r="V69" s="198" t="e">
        <f t="shared" si="26"/>
        <v>#N/A</v>
      </c>
      <c r="W69" s="198">
        <f t="shared" si="27"/>
        <v>0</v>
      </c>
      <c r="X69" s="199"/>
      <c r="Y69" s="198">
        <f t="shared" si="39"/>
        <v>0</v>
      </c>
      <c r="Z69" s="196">
        <f t="shared" si="24"/>
        <v>0</v>
      </c>
      <c r="AO69" s="200"/>
      <c r="AP69" s="43"/>
      <c r="AQ69" s="37"/>
      <c r="AR69" s="37"/>
      <c r="AS69" s="43"/>
    </row>
    <row r="70" spans="1:45" ht="15">
      <c r="A70" s="33">
        <v>56</v>
      </c>
      <c r="B70" s="187" t="s">
        <v>85</v>
      </c>
      <c r="C70" s="262">
        <f t="shared" si="42"/>
        <v>612.8075944425628</v>
      </c>
      <c r="D70" s="351"/>
      <c r="E70" s="190"/>
      <c r="G70" s="191" t="e">
        <f t="shared" si="2"/>
        <v>#N/A</v>
      </c>
      <c r="H70" s="24" t="e">
        <f t="shared" si="23"/>
        <v>#N/A</v>
      </c>
      <c r="I70" s="218" t="e">
        <f t="shared" si="34"/>
        <v>#N/A</v>
      </c>
      <c r="J70" s="222" t="e">
        <f t="shared" si="41"/>
        <v>#NUM!</v>
      </c>
      <c r="K70" s="24"/>
      <c r="L70" s="193" t="e">
        <f t="shared" si="4"/>
        <v>#N/A</v>
      </c>
      <c r="M70" s="194">
        <v>2</v>
      </c>
      <c r="N70" s="195" t="e">
        <f t="shared" si="35"/>
        <v>#N/A</v>
      </c>
      <c r="O70" s="363">
        <f t="shared" si="25"/>
        <v>0</v>
      </c>
      <c r="P70" s="323"/>
      <c r="Q70" s="384"/>
      <c r="R70" s="191" t="e">
        <f t="shared" si="36"/>
        <v>#N/A</v>
      </c>
      <c r="S70" s="24" t="e">
        <f t="shared" si="37"/>
        <v>#N/A</v>
      </c>
      <c r="T70" s="25" t="e">
        <f t="shared" si="9"/>
        <v>#N/A</v>
      </c>
      <c r="U70" s="394" t="e">
        <f t="shared" si="38"/>
        <v>#N/A</v>
      </c>
      <c r="V70" s="198" t="e">
        <f t="shared" si="26"/>
        <v>#N/A</v>
      </c>
      <c r="W70" s="198">
        <f t="shared" si="27"/>
        <v>0</v>
      </c>
      <c r="X70" s="199"/>
      <c r="Y70" s="198">
        <f t="shared" si="39"/>
        <v>0</v>
      </c>
      <c r="Z70" s="196">
        <f t="shared" si="24"/>
        <v>0</v>
      </c>
      <c r="AO70" s="200"/>
      <c r="AP70" s="43"/>
      <c r="AQ70" s="37"/>
      <c r="AR70" s="37"/>
      <c r="AS70" s="43"/>
    </row>
    <row r="71" spans="1:45" ht="15">
      <c r="A71" s="33">
        <v>57</v>
      </c>
      <c r="B71" s="187" t="s">
        <v>86</v>
      </c>
      <c r="C71" s="262">
        <f t="shared" si="42"/>
        <v>649.2470302549938</v>
      </c>
      <c r="D71" s="351"/>
      <c r="E71" s="190"/>
      <c r="G71" s="191" t="e">
        <f t="shared" si="2"/>
        <v>#N/A</v>
      </c>
      <c r="H71" s="24" t="e">
        <f t="shared" si="23"/>
        <v>#N/A</v>
      </c>
      <c r="I71" s="218" t="e">
        <f t="shared" si="34"/>
        <v>#N/A</v>
      </c>
      <c r="J71" s="222" t="e">
        <f t="shared" si="41"/>
        <v>#NUM!</v>
      </c>
      <c r="K71" s="24"/>
      <c r="L71" s="193" t="e">
        <f t="shared" si="4"/>
        <v>#N/A</v>
      </c>
      <c r="M71" s="194">
        <v>2</v>
      </c>
      <c r="N71" s="195" t="e">
        <f t="shared" si="35"/>
        <v>#N/A</v>
      </c>
      <c r="O71" s="363">
        <f t="shared" si="25"/>
        <v>0</v>
      </c>
      <c r="P71" s="323"/>
      <c r="Q71" s="384"/>
      <c r="R71" s="191" t="e">
        <f t="shared" si="36"/>
        <v>#N/A</v>
      </c>
      <c r="S71" s="24" t="e">
        <f t="shared" si="37"/>
        <v>#N/A</v>
      </c>
      <c r="T71" s="25" t="e">
        <f t="shared" si="9"/>
        <v>#N/A</v>
      </c>
      <c r="U71" s="394" t="e">
        <f t="shared" si="38"/>
        <v>#N/A</v>
      </c>
      <c r="V71" s="198" t="e">
        <f t="shared" si="26"/>
        <v>#N/A</v>
      </c>
      <c r="W71" s="198">
        <f t="shared" si="27"/>
        <v>0</v>
      </c>
      <c r="X71" s="199"/>
      <c r="Y71" s="198">
        <f t="shared" si="39"/>
        <v>0</v>
      </c>
      <c r="Z71" s="196">
        <f t="shared" si="24"/>
        <v>0</v>
      </c>
      <c r="AO71" s="256"/>
      <c r="AP71" s="59"/>
      <c r="AQ71" s="257"/>
      <c r="AR71" s="257"/>
      <c r="AS71" s="59"/>
    </row>
    <row r="72" spans="1:26" ht="15">
      <c r="A72" s="33">
        <v>58</v>
      </c>
      <c r="B72" s="187" t="s">
        <v>87</v>
      </c>
      <c r="C72" s="262">
        <f t="shared" si="42"/>
        <v>687.8532676775387</v>
      </c>
      <c r="D72" s="351"/>
      <c r="E72" s="190"/>
      <c r="G72" s="191" t="e">
        <f t="shared" si="2"/>
        <v>#N/A</v>
      </c>
      <c r="H72" s="24" t="e">
        <f t="shared" si="23"/>
        <v>#N/A</v>
      </c>
      <c r="I72" s="218" t="e">
        <f t="shared" si="34"/>
        <v>#N/A</v>
      </c>
      <c r="J72" s="222" t="e">
        <f t="shared" si="41"/>
        <v>#NUM!</v>
      </c>
      <c r="K72" s="24"/>
      <c r="L72" s="193" t="e">
        <f t="shared" si="4"/>
        <v>#N/A</v>
      </c>
      <c r="M72" s="194">
        <v>2</v>
      </c>
      <c r="N72" s="195" t="e">
        <f t="shared" si="35"/>
        <v>#N/A</v>
      </c>
      <c r="O72" s="363">
        <f t="shared" si="25"/>
        <v>0</v>
      </c>
      <c r="P72" s="323"/>
      <c r="Q72" s="384"/>
      <c r="R72" s="191" t="e">
        <f t="shared" si="36"/>
        <v>#N/A</v>
      </c>
      <c r="S72" s="24" t="e">
        <f t="shared" si="37"/>
        <v>#N/A</v>
      </c>
      <c r="T72" s="25" t="e">
        <f t="shared" si="9"/>
        <v>#N/A</v>
      </c>
      <c r="U72" s="394" t="e">
        <f t="shared" si="38"/>
        <v>#N/A</v>
      </c>
      <c r="V72" s="198" t="e">
        <f t="shared" si="26"/>
        <v>#N/A</v>
      </c>
      <c r="W72" s="198">
        <f t="shared" si="27"/>
        <v>0</v>
      </c>
      <c r="X72" s="199"/>
      <c r="Y72" s="198">
        <f t="shared" si="39"/>
        <v>0</v>
      </c>
      <c r="Z72" s="196">
        <f t="shared" si="24"/>
        <v>0</v>
      </c>
    </row>
    <row r="73" spans="1:26" ht="15">
      <c r="A73" s="33">
        <v>59</v>
      </c>
      <c r="B73" s="187" t="s">
        <v>88</v>
      </c>
      <c r="C73" s="262">
        <f t="shared" si="42"/>
        <v>728.7551514387978</v>
      </c>
      <c r="D73" s="351"/>
      <c r="E73" s="190"/>
      <c r="G73" s="191" t="e">
        <f t="shared" si="2"/>
        <v>#N/A</v>
      </c>
      <c r="H73" s="24" t="e">
        <f t="shared" si="23"/>
        <v>#N/A</v>
      </c>
      <c r="I73" s="218" t="e">
        <f t="shared" si="34"/>
        <v>#N/A</v>
      </c>
      <c r="J73" s="222" t="e">
        <f t="shared" si="41"/>
        <v>#NUM!</v>
      </c>
      <c r="K73" s="24"/>
      <c r="L73" s="193" t="e">
        <f t="shared" si="4"/>
        <v>#N/A</v>
      </c>
      <c r="M73" s="194">
        <v>2</v>
      </c>
      <c r="N73" s="195" t="e">
        <f t="shared" si="35"/>
        <v>#N/A</v>
      </c>
      <c r="O73" s="363">
        <f t="shared" si="25"/>
        <v>0</v>
      </c>
      <c r="P73" s="323"/>
      <c r="Q73" s="384"/>
      <c r="R73" s="191" t="e">
        <f t="shared" si="36"/>
        <v>#N/A</v>
      </c>
      <c r="S73" s="24" t="e">
        <f t="shared" si="37"/>
        <v>#N/A</v>
      </c>
      <c r="T73" s="25" t="e">
        <f t="shared" si="9"/>
        <v>#N/A</v>
      </c>
      <c r="U73" s="394" t="e">
        <f t="shared" si="38"/>
        <v>#N/A</v>
      </c>
      <c r="V73" s="198" t="e">
        <f t="shared" si="26"/>
        <v>#N/A</v>
      </c>
      <c r="W73" s="198">
        <f t="shared" si="27"/>
        <v>0</v>
      </c>
      <c r="X73" s="199"/>
      <c r="Y73" s="198">
        <f t="shared" si="39"/>
        <v>0</v>
      </c>
      <c r="Z73" s="196">
        <f t="shared" si="24"/>
        <v>0</v>
      </c>
    </row>
    <row r="74" spans="1:26" ht="15">
      <c r="A74" s="33">
        <v>60</v>
      </c>
      <c r="B74" s="187" t="s">
        <v>89</v>
      </c>
      <c r="C74" s="262">
        <f t="shared" si="42"/>
        <v>772.0891877736257</v>
      </c>
      <c r="D74" s="351"/>
      <c r="E74" s="190"/>
      <c r="G74" s="191" t="e">
        <f t="shared" si="2"/>
        <v>#N/A</v>
      </c>
      <c r="H74" s="24" t="e">
        <f t="shared" si="23"/>
        <v>#N/A</v>
      </c>
      <c r="I74" s="218" t="e">
        <f t="shared" si="34"/>
        <v>#N/A</v>
      </c>
      <c r="J74" s="222" t="e">
        <f t="shared" si="41"/>
        <v>#NUM!</v>
      </c>
      <c r="K74" s="24"/>
      <c r="L74" s="193" t="e">
        <f t="shared" si="4"/>
        <v>#N/A</v>
      </c>
      <c r="M74" s="194">
        <v>2</v>
      </c>
      <c r="N74" s="195" t="e">
        <f t="shared" si="35"/>
        <v>#N/A</v>
      </c>
      <c r="O74" s="363">
        <f t="shared" si="25"/>
        <v>0</v>
      </c>
      <c r="P74" s="323"/>
      <c r="Q74" s="384"/>
      <c r="R74" s="191" t="e">
        <f t="shared" si="36"/>
        <v>#N/A</v>
      </c>
      <c r="S74" s="24" t="e">
        <f t="shared" si="37"/>
        <v>#N/A</v>
      </c>
      <c r="T74" s="25" t="e">
        <f t="shared" si="9"/>
        <v>#N/A</v>
      </c>
      <c r="U74" s="394" t="e">
        <f t="shared" si="38"/>
        <v>#N/A</v>
      </c>
      <c r="V74" s="198" t="e">
        <f t="shared" si="26"/>
        <v>#N/A</v>
      </c>
      <c r="W74" s="198">
        <f t="shared" si="27"/>
        <v>0</v>
      </c>
      <c r="X74" s="199"/>
      <c r="Y74" s="198">
        <f t="shared" si="39"/>
        <v>0</v>
      </c>
      <c r="Z74" s="196">
        <f t="shared" si="24"/>
        <v>0</v>
      </c>
    </row>
    <row r="75" spans="1:26" ht="15">
      <c r="A75" s="33">
        <v>61</v>
      </c>
      <c r="B75" s="187" t="s">
        <v>90</v>
      </c>
      <c r="C75" s="262">
        <f t="shared" si="42"/>
        <v>818.0000000000005</v>
      </c>
      <c r="D75" s="350"/>
      <c r="E75" s="190"/>
      <c r="G75" s="191" t="e">
        <f t="shared" si="2"/>
        <v>#N/A</v>
      </c>
      <c r="H75" s="24" t="e">
        <f t="shared" si="23"/>
        <v>#N/A</v>
      </c>
      <c r="I75" s="218" t="e">
        <f t="shared" si="34"/>
        <v>#N/A</v>
      </c>
      <c r="J75" s="222" t="e">
        <f t="shared" si="41"/>
        <v>#NUM!</v>
      </c>
      <c r="K75" s="24"/>
      <c r="L75" s="193" t="e">
        <f t="shared" si="4"/>
        <v>#N/A</v>
      </c>
      <c r="M75" s="194">
        <v>2</v>
      </c>
      <c r="N75" s="195" t="e">
        <f t="shared" si="35"/>
        <v>#N/A</v>
      </c>
      <c r="O75" s="363">
        <f t="shared" si="25"/>
        <v>0</v>
      </c>
      <c r="P75" s="323"/>
      <c r="Q75" s="384"/>
      <c r="R75" s="191" t="e">
        <f t="shared" si="36"/>
        <v>#N/A</v>
      </c>
      <c r="S75" s="24" t="e">
        <f t="shared" si="37"/>
        <v>#N/A</v>
      </c>
      <c r="T75" s="25" t="e">
        <f t="shared" si="9"/>
        <v>#N/A</v>
      </c>
      <c r="U75" s="394" t="e">
        <f t="shared" si="38"/>
        <v>#N/A</v>
      </c>
      <c r="V75" s="198" t="e">
        <f t="shared" si="26"/>
        <v>#N/A</v>
      </c>
      <c r="W75" s="198">
        <f t="shared" si="27"/>
        <v>0</v>
      </c>
      <c r="X75" s="199"/>
      <c r="Y75" s="198">
        <f t="shared" si="39"/>
        <v>0</v>
      </c>
      <c r="Z75" s="196">
        <f t="shared" si="24"/>
        <v>0</v>
      </c>
    </row>
    <row r="76" spans="1:26" ht="15">
      <c r="A76" s="33">
        <v>62</v>
      </c>
      <c r="B76" s="187" t="s">
        <v>91</v>
      </c>
      <c r="C76" s="262">
        <f t="shared" si="42"/>
        <v>866.640811185904</v>
      </c>
      <c r="D76" s="351"/>
      <c r="E76" s="190"/>
      <c r="G76" s="191" t="e">
        <f t="shared" si="2"/>
        <v>#N/A</v>
      </c>
      <c r="H76" s="24" t="e">
        <f t="shared" si="23"/>
        <v>#N/A</v>
      </c>
      <c r="I76" s="218" t="e">
        <f t="shared" si="34"/>
        <v>#N/A</v>
      </c>
      <c r="J76" s="222" t="e">
        <f t="shared" si="41"/>
        <v>#NUM!</v>
      </c>
      <c r="K76" s="24"/>
      <c r="L76" s="193" t="e">
        <f t="shared" si="4"/>
        <v>#N/A</v>
      </c>
      <c r="M76" s="194">
        <v>2</v>
      </c>
      <c r="N76" s="195" t="e">
        <f t="shared" si="35"/>
        <v>#N/A</v>
      </c>
      <c r="O76" s="363">
        <f t="shared" si="25"/>
        <v>0</v>
      </c>
      <c r="P76" s="323"/>
      <c r="Q76" s="384"/>
      <c r="R76" s="191" t="e">
        <f t="shared" si="36"/>
        <v>#N/A</v>
      </c>
      <c r="S76" s="24" t="e">
        <f t="shared" si="37"/>
        <v>#N/A</v>
      </c>
      <c r="T76" s="25" t="e">
        <f t="shared" si="9"/>
        <v>#N/A</v>
      </c>
      <c r="U76" s="394" t="e">
        <f t="shared" si="38"/>
        <v>#N/A</v>
      </c>
      <c r="V76" s="198" t="e">
        <f t="shared" si="26"/>
        <v>#N/A</v>
      </c>
      <c r="W76" s="198">
        <f t="shared" si="27"/>
        <v>0</v>
      </c>
      <c r="X76" s="199"/>
      <c r="Y76" s="198">
        <f t="shared" si="39"/>
        <v>0</v>
      </c>
      <c r="Z76" s="196">
        <f t="shared" si="24"/>
        <v>0</v>
      </c>
    </row>
    <row r="77" spans="1:26" ht="15">
      <c r="A77" s="233">
        <v>63</v>
      </c>
      <c r="B77" s="234" t="s">
        <v>92</v>
      </c>
      <c r="C77" s="264">
        <f t="shared" si="42"/>
        <v>918.1739555170676</v>
      </c>
      <c r="D77" s="351"/>
      <c r="E77" s="190"/>
      <c r="G77" s="191" t="e">
        <f t="shared" si="2"/>
        <v>#N/A</v>
      </c>
      <c r="H77" s="24" t="e">
        <f t="shared" si="23"/>
        <v>#N/A</v>
      </c>
      <c r="I77" s="218" t="e">
        <f t="shared" si="34"/>
        <v>#N/A</v>
      </c>
      <c r="J77" s="222" t="e">
        <f t="shared" si="41"/>
        <v>#NUM!</v>
      </c>
      <c r="K77" s="24"/>
      <c r="L77" s="193" t="e">
        <f t="shared" si="4"/>
        <v>#N/A</v>
      </c>
      <c r="M77" s="194">
        <v>2</v>
      </c>
      <c r="N77" s="195" t="e">
        <f t="shared" si="35"/>
        <v>#N/A</v>
      </c>
      <c r="O77" s="363">
        <f t="shared" si="25"/>
        <v>0</v>
      </c>
      <c r="P77" s="323"/>
      <c r="Q77" s="384"/>
      <c r="R77" s="191" t="e">
        <f t="shared" si="36"/>
        <v>#N/A</v>
      </c>
      <c r="S77" s="24" t="e">
        <f t="shared" si="37"/>
        <v>#N/A</v>
      </c>
      <c r="T77" s="25" t="e">
        <f t="shared" si="9"/>
        <v>#N/A</v>
      </c>
      <c r="U77" s="394" t="e">
        <f t="shared" si="38"/>
        <v>#N/A</v>
      </c>
      <c r="V77" s="198" t="e">
        <f t="shared" si="26"/>
        <v>#N/A</v>
      </c>
      <c r="W77" s="198">
        <f t="shared" si="27"/>
        <v>0</v>
      </c>
      <c r="X77" s="199"/>
      <c r="Y77" s="198">
        <f t="shared" si="39"/>
        <v>0</v>
      </c>
      <c r="Z77" s="196">
        <f t="shared" si="24"/>
        <v>0</v>
      </c>
    </row>
    <row r="78" spans="1:26" ht="15">
      <c r="A78" s="33">
        <v>64</v>
      </c>
      <c r="B78" s="187" t="s">
        <v>93</v>
      </c>
      <c r="C78" s="262">
        <f t="shared" si="42"/>
        <v>972.7714200722264</v>
      </c>
      <c r="D78" s="351"/>
      <c r="E78" s="190"/>
      <c r="G78" s="191" t="e">
        <f t="shared" si="2"/>
        <v>#N/A</v>
      </c>
      <c r="H78" s="24" t="e">
        <f t="shared" si="23"/>
        <v>#N/A</v>
      </c>
      <c r="I78" s="218" t="e">
        <f t="shared" si="34"/>
        <v>#N/A</v>
      </c>
      <c r="J78" s="222" t="e">
        <f t="shared" si="41"/>
        <v>#NUM!</v>
      </c>
      <c r="K78" s="24" t="e">
        <f>LOG(D66/2)</f>
        <v>#NUM!</v>
      </c>
      <c r="L78" s="193" t="e">
        <f t="shared" si="4"/>
        <v>#N/A</v>
      </c>
      <c r="M78" s="194">
        <v>2</v>
      </c>
      <c r="N78" s="195" t="e">
        <f t="shared" si="35"/>
        <v>#N/A</v>
      </c>
      <c r="O78" s="363">
        <f t="shared" si="25"/>
        <v>0</v>
      </c>
      <c r="P78" s="323"/>
      <c r="Q78" s="384"/>
      <c r="R78" s="191" t="e">
        <f t="shared" si="36"/>
        <v>#N/A</v>
      </c>
      <c r="S78" s="24" t="e">
        <f t="shared" si="37"/>
        <v>#N/A</v>
      </c>
      <c r="T78" s="25" t="e">
        <f t="shared" si="9"/>
        <v>#N/A</v>
      </c>
      <c r="U78" s="394" t="e">
        <f t="shared" si="38"/>
        <v>#N/A</v>
      </c>
      <c r="V78" s="198" t="e">
        <f t="shared" si="26"/>
        <v>#N/A</v>
      </c>
      <c r="W78" s="198">
        <f t="shared" si="27"/>
        <v>0</v>
      </c>
      <c r="X78" s="199"/>
      <c r="Y78" s="198">
        <f t="shared" si="39"/>
        <v>0</v>
      </c>
      <c r="Z78" s="196">
        <f t="shared" si="24"/>
        <v>0</v>
      </c>
    </row>
    <row r="79" spans="1:26" ht="15">
      <c r="A79" s="33">
        <v>65</v>
      </c>
      <c r="B79" s="187" t="s">
        <v>94</v>
      </c>
      <c r="C79" s="262">
        <f t="shared" si="42"/>
        <v>1030.615418814007</v>
      </c>
      <c r="D79" s="351"/>
      <c r="E79" s="190"/>
      <c r="G79" s="191" t="e">
        <f t="shared" si="2"/>
        <v>#N/A</v>
      </c>
      <c r="H79" s="24" t="e">
        <f t="shared" si="23"/>
        <v>#N/A</v>
      </c>
      <c r="I79" s="218" t="e">
        <f t="shared" si="34"/>
        <v>#N/A</v>
      </c>
      <c r="J79" s="222" t="e">
        <f t="shared" si="41"/>
        <v>#NUM!</v>
      </c>
      <c r="K79" s="24"/>
      <c r="L79" s="193" t="e">
        <f t="shared" si="4"/>
        <v>#N/A</v>
      </c>
      <c r="M79" s="194">
        <v>2</v>
      </c>
      <c r="N79" s="195" t="e">
        <f t="shared" si="35"/>
        <v>#N/A</v>
      </c>
      <c r="O79" s="363">
        <f t="shared" si="25"/>
        <v>0</v>
      </c>
      <c r="P79" s="323"/>
      <c r="Q79" s="384"/>
      <c r="R79" s="191" t="e">
        <f t="shared" si="36"/>
        <v>#N/A</v>
      </c>
      <c r="S79" s="24" t="e">
        <f t="shared" si="37"/>
        <v>#N/A</v>
      </c>
      <c r="T79" s="25" t="e">
        <f t="shared" si="9"/>
        <v>#N/A</v>
      </c>
      <c r="U79" s="394" t="e">
        <f t="shared" si="38"/>
        <v>#N/A</v>
      </c>
      <c r="V79" s="198" t="e">
        <f t="shared" si="26"/>
        <v>#N/A</v>
      </c>
      <c r="W79" s="198">
        <f t="shared" si="27"/>
        <v>0</v>
      </c>
      <c r="X79" s="199"/>
      <c r="Y79" s="198">
        <f t="shared" si="39"/>
        <v>0</v>
      </c>
      <c r="Z79" s="196">
        <f t="shared" si="24"/>
        <v>0</v>
      </c>
    </row>
    <row r="80" spans="1:66" s="37" customFormat="1" ht="15">
      <c r="A80" s="233">
        <v>66</v>
      </c>
      <c r="B80" s="234" t="s">
        <v>95</v>
      </c>
      <c r="C80" s="264">
        <f t="shared" si="42"/>
        <v>1091.899000711089</v>
      </c>
      <c r="D80" s="350"/>
      <c r="E80" s="190"/>
      <c r="F80" s="31"/>
      <c r="G80" s="191" t="e">
        <f t="shared" si="2"/>
        <v>#N/A</v>
      </c>
      <c r="H80" s="24" t="e">
        <f t="shared" si="23"/>
        <v>#N/A</v>
      </c>
      <c r="I80" s="218" t="e">
        <f t="shared" si="34"/>
        <v>#N/A</v>
      </c>
      <c r="J80" s="222" t="e">
        <f t="shared" si="41"/>
        <v>#NUM!</v>
      </c>
      <c r="K80" s="24"/>
      <c r="L80" s="193" t="e">
        <f t="shared" si="4"/>
        <v>#N/A</v>
      </c>
      <c r="M80" s="194">
        <v>2</v>
      </c>
      <c r="N80" s="195" t="e">
        <f t="shared" si="35"/>
        <v>#N/A</v>
      </c>
      <c r="O80" s="363">
        <f t="shared" si="25"/>
        <v>0</v>
      </c>
      <c r="P80" s="323"/>
      <c r="Q80" s="384"/>
      <c r="R80" s="191" t="e">
        <f t="shared" si="36"/>
        <v>#N/A</v>
      </c>
      <c r="S80" s="24" t="e">
        <f t="shared" si="37"/>
        <v>#N/A</v>
      </c>
      <c r="T80" s="25" t="e">
        <f t="shared" si="9"/>
        <v>#N/A</v>
      </c>
      <c r="U80" s="394" t="e">
        <f t="shared" si="38"/>
        <v>#N/A</v>
      </c>
      <c r="V80" s="198" t="e">
        <f t="shared" si="26"/>
        <v>#N/A</v>
      </c>
      <c r="W80" s="198">
        <f t="shared" si="27"/>
        <v>0</v>
      </c>
      <c r="X80" s="199"/>
      <c r="Y80" s="198">
        <f t="shared" si="39"/>
        <v>0</v>
      </c>
      <c r="Z80" s="196">
        <f t="shared" si="24"/>
        <v>0</v>
      </c>
      <c r="AB80" s="133"/>
      <c r="AW80" s="233"/>
      <c r="AX80" s="233"/>
      <c r="BD80" s="24"/>
      <c r="BF80" s="60"/>
      <c r="BH80" s="24"/>
      <c r="BK80" s="24"/>
      <c r="BM80" s="24"/>
      <c r="BN80" s="24"/>
    </row>
    <row r="81" spans="1:26" ht="15">
      <c r="A81" s="233">
        <v>67</v>
      </c>
      <c r="B81" s="234" t="s">
        <v>96</v>
      </c>
      <c r="C81" s="264">
        <f t="shared" si="42"/>
        <v>1156.8266940211927</v>
      </c>
      <c r="D81" s="351"/>
      <c r="E81" s="190"/>
      <c r="G81" s="191" t="e">
        <f t="shared" si="2"/>
        <v>#N/A</v>
      </c>
      <c r="H81" s="24" t="e">
        <f t="shared" si="23"/>
        <v>#N/A</v>
      </c>
      <c r="I81" s="218" t="e">
        <f t="shared" si="34"/>
        <v>#N/A</v>
      </c>
      <c r="J81" s="222" t="e">
        <f t="shared" si="41"/>
        <v>#NUM!</v>
      </c>
      <c r="K81" s="24"/>
      <c r="L81" s="193" t="e">
        <f t="shared" si="4"/>
        <v>#N/A</v>
      </c>
      <c r="M81" s="194">
        <v>2</v>
      </c>
      <c r="N81" s="195" t="e">
        <f t="shared" si="35"/>
        <v>#N/A</v>
      </c>
      <c r="O81" s="363">
        <f t="shared" si="25"/>
        <v>0</v>
      </c>
      <c r="P81" s="323"/>
      <c r="Q81" s="384"/>
      <c r="R81" s="191" t="e">
        <f t="shared" si="36"/>
        <v>#N/A</v>
      </c>
      <c r="S81" s="24" t="e">
        <f t="shared" si="37"/>
        <v>#N/A</v>
      </c>
      <c r="T81" s="25" t="e">
        <f t="shared" si="9"/>
        <v>#N/A</v>
      </c>
      <c r="U81" s="394" t="e">
        <f t="shared" si="38"/>
        <v>#N/A</v>
      </c>
      <c r="V81" s="198" t="e">
        <f t="shared" si="26"/>
        <v>#N/A</v>
      </c>
      <c r="W81" s="198">
        <f t="shared" si="27"/>
        <v>0</v>
      </c>
      <c r="X81" s="199"/>
      <c r="Y81" s="198">
        <f t="shared" si="39"/>
        <v>0</v>
      </c>
      <c r="Z81" s="196">
        <f t="shared" si="24"/>
        <v>0</v>
      </c>
    </row>
    <row r="82" spans="1:26" ht="15">
      <c r="A82" s="233">
        <v>68</v>
      </c>
      <c r="B82" s="234" t="s">
        <v>97</v>
      </c>
      <c r="C82" s="264">
        <f t="shared" si="42"/>
        <v>1225.6151888851266</v>
      </c>
      <c r="D82" s="351"/>
      <c r="E82" s="190"/>
      <c r="G82" s="191" t="e">
        <f>VLOOKUP(F82,$AW$18:$AZ$38,2)</f>
        <v>#N/A</v>
      </c>
      <c r="H82" s="24" t="e">
        <f t="shared" si="23"/>
        <v>#N/A</v>
      </c>
      <c r="I82" s="218" t="e">
        <f>(H82*PI())/(9.81*10^12)</f>
        <v>#N/A</v>
      </c>
      <c r="J82" s="222" t="e">
        <f t="shared" si="41"/>
        <v>#NUM!</v>
      </c>
      <c r="K82" s="24"/>
      <c r="L82" s="193" t="e">
        <f>IF(F82="c",BO82,(C82*D82*E82)^2*I82)</f>
        <v>#N/A</v>
      </c>
      <c r="M82" s="194">
        <v>2</v>
      </c>
      <c r="N82" s="195" t="e">
        <f>M82*L82</f>
        <v>#N/A</v>
      </c>
      <c r="O82" s="363">
        <f t="shared" si="25"/>
        <v>0</v>
      </c>
      <c r="P82" s="323"/>
      <c r="Q82" s="384"/>
      <c r="R82" s="191" t="e">
        <f>VLOOKUP(Q82,$AW$18:$AZ$38,2)</f>
        <v>#N/A</v>
      </c>
      <c r="S82" s="24" t="e">
        <f>VLOOKUP(Q82,$AW$19:$AZ$38,4)</f>
        <v>#N/A</v>
      </c>
      <c r="T82" s="25" t="e">
        <f>SQRT(P82/((PI()*S82)/(9.81*10^12)*(C82*D82)^2))</f>
        <v>#N/A</v>
      </c>
      <c r="U82" s="394" t="e">
        <f t="shared" si="38"/>
        <v>#N/A</v>
      </c>
      <c r="V82" s="198" t="e">
        <f t="shared" si="26"/>
        <v>#N/A</v>
      </c>
      <c r="W82" s="198">
        <f t="shared" si="27"/>
        <v>0</v>
      </c>
      <c r="X82" s="199"/>
      <c r="Y82" s="198">
        <f>X82*W82</f>
        <v>0</v>
      </c>
      <c r="Z82" s="196">
        <f t="shared" si="24"/>
        <v>0</v>
      </c>
    </row>
    <row r="83" spans="1:66" s="37" customFormat="1" ht="15">
      <c r="A83" s="233">
        <v>69</v>
      </c>
      <c r="B83" s="234" t="s">
        <v>98</v>
      </c>
      <c r="C83" s="264">
        <f t="shared" si="42"/>
        <v>1298.4940605099885</v>
      </c>
      <c r="D83" s="350"/>
      <c r="E83" s="190"/>
      <c r="F83" s="31"/>
      <c r="G83" s="191" t="e">
        <f>VLOOKUP(F83,$AW$18:$AZ$38,2)</f>
        <v>#N/A</v>
      </c>
      <c r="H83" s="24" t="e">
        <f>VLOOKUP(F83,$AW$19:$AZ$39,4)</f>
        <v>#N/A</v>
      </c>
      <c r="I83" s="218" t="e">
        <f>(H83*PI())/(9.81*10^12)</f>
        <v>#N/A</v>
      </c>
      <c r="J83" s="222" t="e">
        <f t="shared" si="41"/>
        <v>#NUM!</v>
      </c>
      <c r="K83" s="24"/>
      <c r="L83" s="193" t="e">
        <f>IF(F83="c",BO83,(C83*D83*E83)^2*I83)</f>
        <v>#N/A</v>
      </c>
      <c r="M83" s="194">
        <v>2</v>
      </c>
      <c r="N83" s="195" t="e">
        <f>M83*L83</f>
        <v>#N/A</v>
      </c>
      <c r="O83" s="363">
        <f t="shared" si="25"/>
        <v>0</v>
      </c>
      <c r="P83" s="323"/>
      <c r="Q83" s="384"/>
      <c r="R83" s="191" t="e">
        <f>VLOOKUP(Q83,$AW$18:$AZ$38,2)</f>
        <v>#N/A</v>
      </c>
      <c r="S83" s="24" t="e">
        <f>VLOOKUP(Q83,$AW$19:$AZ$38,4)</f>
        <v>#N/A</v>
      </c>
      <c r="T83" s="25" t="e">
        <f>SQRT(P83/((PI()*S83)/(9.81*10^12)*(C83*D83)^2))</f>
        <v>#N/A</v>
      </c>
      <c r="U83" s="394" t="e">
        <f t="shared" si="38"/>
        <v>#N/A</v>
      </c>
      <c r="V83" s="198" t="e">
        <f t="shared" si="26"/>
        <v>#N/A</v>
      </c>
      <c r="W83" s="198">
        <f t="shared" si="27"/>
        <v>0</v>
      </c>
      <c r="X83" s="199"/>
      <c r="Y83" s="198">
        <f>X83*W83</f>
        <v>0</v>
      </c>
      <c r="Z83" s="196">
        <f>IF(Q83=1,VLOOKUP(U83,$AP$18:$AU$47,2),IF(Q83=1.2,VLOOKUP(U83,$AP$18:$AU$47,3),IF(Q83=1.3,VLOOKUP(U83,$AP$18:$AU$47,4),IF(Q83=2,VLOOKUP(U83,$AP$18:$AU$47,5),IF(Q83=3,VLOOKUP(U83,$AP$18:$AU$47,6),0)))))</f>
        <v>0</v>
      </c>
      <c r="AB83" s="133"/>
      <c r="AW83" s="233"/>
      <c r="AX83" s="233"/>
      <c r="BD83" s="24"/>
      <c r="BF83" s="60"/>
      <c r="BH83" s="24"/>
      <c r="BK83" s="24"/>
      <c r="BM83" s="24"/>
      <c r="BN83" s="24"/>
    </row>
    <row r="84" spans="1:66" s="37" customFormat="1" ht="15">
      <c r="A84" s="233">
        <v>70</v>
      </c>
      <c r="B84" s="187" t="s">
        <v>99</v>
      </c>
      <c r="C84" s="264"/>
      <c r="D84" s="189"/>
      <c r="F84" s="31"/>
      <c r="G84" s="191" t="e">
        <f>VLOOKUP(F84,$AW$18:$AZ$38,2)</f>
        <v>#N/A</v>
      </c>
      <c r="H84" s="24" t="e">
        <f>VLOOKUP(F84,$AW$19:$AZ$39,4)</f>
        <v>#N/A</v>
      </c>
      <c r="I84" s="218" t="e">
        <f>(H84*PI())/(9.81*10^12)</f>
        <v>#N/A</v>
      </c>
      <c r="J84" s="222" t="e">
        <f t="shared" si="41"/>
        <v>#NUM!</v>
      </c>
      <c r="K84" s="24"/>
      <c r="L84" s="193" t="e">
        <f>IF(F84="c",BO84,(C84*D84*E84)^2*I84)</f>
        <v>#N/A</v>
      </c>
      <c r="M84" s="194">
        <v>2</v>
      </c>
      <c r="N84" s="195" t="e">
        <f>M84*L84</f>
        <v>#N/A</v>
      </c>
      <c r="O84" s="363"/>
      <c r="P84" s="328"/>
      <c r="Q84" s="384"/>
      <c r="R84" s="191" t="e">
        <f>VLOOKUP(Q84,$AW$18:$AZ$38,2)</f>
        <v>#N/A</v>
      </c>
      <c r="S84" s="24" t="e">
        <f>VLOOKUP(Q84,$AW$19:$AZ$38,4)</f>
        <v>#N/A</v>
      </c>
      <c r="T84" s="25" t="e">
        <f>SQRT(P84/((PI()*S84)/(9.81*10^12)*(C84*D84)^2))</f>
        <v>#N/A</v>
      </c>
      <c r="U84" s="394" t="e">
        <f>IF(Q84&gt;14,VLOOKUP(T84,$AO$53:$AS$71,2),VLOOKUP(T84,$AO$18:$AP$47,2))</f>
        <v>#N/A</v>
      </c>
      <c r="V84" s="376"/>
      <c r="W84" s="198">
        <f>IF(Q84=0,BO84,V84)</f>
        <v>0</v>
      </c>
      <c r="X84" s="199"/>
      <c r="Y84" s="198">
        <f>X84*W84</f>
        <v>0</v>
      </c>
      <c r="Z84" s="196">
        <f>IF(Q84=1,VLOOKUP(U84,$AP$18:$AU$47,2),IF(Q84=1.2,VLOOKUP(U84,$AP$18:$AU$47,3),IF(Q84=1.3,VLOOKUP(U84,$AP$18:$AU$47,4),IF(Q84=2,VLOOKUP(U84,$AP$18:$AU$47,5),IF(Q84=3,VLOOKUP(U84,$AP$18:$AU$47,6),0)))))</f>
        <v>0</v>
      </c>
      <c r="AB84" s="133"/>
      <c r="AW84" s="233"/>
      <c r="AX84" s="233"/>
      <c r="BD84" s="24"/>
      <c r="BF84" s="60"/>
      <c r="BH84" s="24"/>
      <c r="BK84" s="24"/>
      <c r="BM84" s="24"/>
      <c r="BN84" s="24"/>
    </row>
    <row r="85" spans="1:66" s="37" customFormat="1" ht="15">
      <c r="A85" s="233">
        <v>71</v>
      </c>
      <c r="B85" s="234" t="s">
        <v>151</v>
      </c>
      <c r="C85" s="264"/>
      <c r="D85" s="189"/>
      <c r="F85" s="31"/>
      <c r="G85" s="191" t="e">
        <f>VLOOKUP(F85,$AW$18:$AZ$38,2)</f>
        <v>#N/A</v>
      </c>
      <c r="H85" s="24" t="e">
        <f>VLOOKUP(F85,$AW$19:$AZ$39,4)</f>
        <v>#N/A</v>
      </c>
      <c r="I85" s="218" t="e">
        <f>(H85*PI())/(9.81*10^12)</f>
        <v>#N/A</v>
      </c>
      <c r="J85" s="222" t="e">
        <f t="shared" si="41"/>
        <v>#NUM!</v>
      </c>
      <c r="K85" s="24"/>
      <c r="L85" s="193" t="e">
        <f>IF(F85="c",BO85,(C85*D85*E85)^2*I85)</f>
        <v>#N/A</v>
      </c>
      <c r="M85" s="194">
        <v>2</v>
      </c>
      <c r="N85" s="195" t="e">
        <f>M85*L85</f>
        <v>#N/A</v>
      </c>
      <c r="O85" s="363"/>
      <c r="P85" s="328"/>
      <c r="Q85" s="384"/>
      <c r="R85" s="191" t="e">
        <f>VLOOKUP(Q85,$AW$18:$AZ$38,2)</f>
        <v>#N/A</v>
      </c>
      <c r="S85" s="24" t="e">
        <f>VLOOKUP(Q85,$AW$19:$AZ$38,4)</f>
        <v>#N/A</v>
      </c>
      <c r="T85" s="25" t="e">
        <f>SQRT(P85/((PI()*S85)/(9.81*10^12)*(C85*D85)^2))</f>
        <v>#N/A</v>
      </c>
      <c r="U85" s="394" t="e">
        <f>IF(Q85&gt;14,VLOOKUP(T85,$AO$53:$AS$71,2),VLOOKUP(T85,$AO$18:$AP$47,2))</f>
        <v>#N/A</v>
      </c>
      <c r="V85" s="376"/>
      <c r="W85" s="198">
        <f>IF(Q85=0,BO85,V85)</f>
        <v>0</v>
      </c>
      <c r="X85" s="199"/>
      <c r="Y85" s="198">
        <f>X85*W85</f>
        <v>0</v>
      </c>
      <c r="Z85" s="196">
        <f>IF(Q85=1,VLOOKUP(U85,$AP$18:$AU$47,2),IF(Q85=1.2,VLOOKUP(U85,$AP$18:$AU$47,3),IF(Q85=1.3,VLOOKUP(U85,$AP$18:$AU$47,4),IF(Q85=2,VLOOKUP(U85,$AP$18:$AU$47,5),IF(Q85=3,VLOOKUP(U85,$AP$18:$AU$47,6),0)))))</f>
        <v>0</v>
      </c>
      <c r="AB85" s="133"/>
      <c r="AW85" s="233"/>
      <c r="AX85" s="233"/>
      <c r="BD85" s="24"/>
      <c r="BF85" s="60"/>
      <c r="BH85" s="24"/>
      <c r="BK85" s="24"/>
      <c r="BM85" s="24"/>
      <c r="BN85" s="24"/>
    </row>
    <row r="86" spans="1:66" s="37" customFormat="1" ht="15">
      <c r="A86" s="233"/>
      <c r="B86" s="234"/>
      <c r="C86" s="264"/>
      <c r="G86" s="326"/>
      <c r="H86" s="24"/>
      <c r="I86" s="19"/>
      <c r="J86" s="24"/>
      <c r="K86" s="24"/>
      <c r="L86" s="60"/>
      <c r="M86" s="73"/>
      <c r="N86" s="327"/>
      <c r="O86" s="233"/>
      <c r="P86" s="60"/>
      <c r="Q86" s="233"/>
      <c r="R86" s="326"/>
      <c r="S86" s="24"/>
      <c r="T86" s="25"/>
      <c r="U86" s="395"/>
      <c r="V86" s="377"/>
      <c r="W86" s="329"/>
      <c r="X86" s="274"/>
      <c r="Y86" s="329"/>
      <c r="AB86" s="133"/>
      <c r="AW86" s="233"/>
      <c r="AX86" s="233"/>
      <c r="BD86" s="24"/>
      <c r="BF86" s="60"/>
      <c r="BH86" s="24"/>
      <c r="BK86" s="24"/>
      <c r="BM86" s="24"/>
      <c r="BN86" s="24"/>
    </row>
    <row r="87" spans="1:66" s="37" customFormat="1" ht="15">
      <c r="A87" s="233"/>
      <c r="B87" s="234"/>
      <c r="C87" s="264"/>
      <c r="G87" s="326"/>
      <c r="H87" s="24"/>
      <c r="I87" s="19"/>
      <c r="J87" s="24"/>
      <c r="K87" s="24"/>
      <c r="L87" s="60"/>
      <c r="M87" s="73"/>
      <c r="N87" s="327"/>
      <c r="O87" s="233"/>
      <c r="P87" s="60"/>
      <c r="Q87" s="233"/>
      <c r="R87" s="326"/>
      <c r="S87" s="24"/>
      <c r="T87" s="25"/>
      <c r="U87" s="395"/>
      <c r="V87" s="377"/>
      <c r="W87" s="329"/>
      <c r="X87" s="274"/>
      <c r="Y87" s="329"/>
      <c r="AB87" s="133"/>
      <c r="AW87" s="233"/>
      <c r="AX87" s="233"/>
      <c r="BD87" s="24"/>
      <c r="BF87" s="60"/>
      <c r="BH87" s="24"/>
      <c r="BK87" s="24"/>
      <c r="BM87" s="24"/>
      <c r="BN87" s="24"/>
    </row>
    <row r="88" spans="1:66" s="37" customFormat="1" ht="15">
      <c r="A88" s="233"/>
      <c r="B88" s="234"/>
      <c r="C88" s="264"/>
      <c r="G88" s="326"/>
      <c r="H88" s="24"/>
      <c r="I88" s="19"/>
      <c r="J88" s="24"/>
      <c r="K88" s="24"/>
      <c r="L88" s="60"/>
      <c r="M88" s="73"/>
      <c r="N88" s="327"/>
      <c r="O88" s="233"/>
      <c r="P88" s="60"/>
      <c r="Q88" s="233"/>
      <c r="R88" s="326"/>
      <c r="S88" s="24"/>
      <c r="T88" s="25"/>
      <c r="U88" s="395"/>
      <c r="V88" s="377"/>
      <c r="W88" s="329"/>
      <c r="X88" s="274"/>
      <c r="Y88" s="329"/>
      <c r="AB88" s="133"/>
      <c r="AW88" s="233"/>
      <c r="AX88" s="233"/>
      <c r="BD88" s="24"/>
      <c r="BF88" s="60"/>
      <c r="BH88" s="24"/>
      <c r="BK88" s="24"/>
      <c r="BM88" s="24"/>
      <c r="BN88" s="24"/>
    </row>
    <row r="89" spans="1:66" s="37" customFormat="1" ht="15">
      <c r="A89" s="233"/>
      <c r="B89" s="234"/>
      <c r="C89" s="264"/>
      <c r="G89" s="326"/>
      <c r="H89" s="24"/>
      <c r="I89" s="19"/>
      <c r="J89" s="24"/>
      <c r="K89" s="24"/>
      <c r="L89" s="60"/>
      <c r="M89" s="73"/>
      <c r="N89" s="327"/>
      <c r="O89" s="233"/>
      <c r="P89" s="60"/>
      <c r="Q89" s="233"/>
      <c r="R89" s="326"/>
      <c r="S89" s="24"/>
      <c r="T89" s="25"/>
      <c r="U89" s="395"/>
      <c r="V89" s="377"/>
      <c r="W89" s="329"/>
      <c r="X89" s="274"/>
      <c r="Y89" s="329"/>
      <c r="AB89" s="133"/>
      <c r="AW89" s="233"/>
      <c r="AX89" s="233"/>
      <c r="BD89" s="24"/>
      <c r="BF89" s="60"/>
      <c r="BH89" s="24"/>
      <c r="BK89" s="24"/>
      <c r="BM89" s="24"/>
      <c r="BN89" s="24"/>
    </row>
    <row r="90" spans="1:66" s="37" customFormat="1" ht="15">
      <c r="A90" s="233"/>
      <c r="B90" s="234"/>
      <c r="C90" s="264"/>
      <c r="G90" s="326"/>
      <c r="H90" s="24"/>
      <c r="I90" s="19"/>
      <c r="J90" s="24"/>
      <c r="K90" s="24"/>
      <c r="L90" s="60"/>
      <c r="M90" s="73"/>
      <c r="N90" s="327"/>
      <c r="O90" s="233"/>
      <c r="P90" s="60"/>
      <c r="Q90" s="233"/>
      <c r="R90" s="326"/>
      <c r="S90" s="24"/>
      <c r="T90" s="25"/>
      <c r="U90" s="395"/>
      <c r="V90" s="377"/>
      <c r="W90" s="329"/>
      <c r="X90" s="274"/>
      <c r="Y90" s="329"/>
      <c r="AB90" s="133"/>
      <c r="AW90" s="233"/>
      <c r="AX90" s="233"/>
      <c r="BD90" s="24"/>
      <c r="BF90" s="60"/>
      <c r="BH90" s="24"/>
      <c r="BK90" s="24"/>
      <c r="BM90" s="24"/>
      <c r="BN90" s="24"/>
    </row>
    <row r="91" spans="1:66" s="37" customFormat="1" ht="15">
      <c r="A91" s="233"/>
      <c r="B91" s="234"/>
      <c r="C91" s="264"/>
      <c r="G91" s="326"/>
      <c r="H91" s="24"/>
      <c r="I91" s="19"/>
      <c r="J91" s="24"/>
      <c r="K91" s="24"/>
      <c r="L91" s="60"/>
      <c r="M91" s="73"/>
      <c r="N91" s="327"/>
      <c r="O91" s="233"/>
      <c r="P91" s="60"/>
      <c r="Q91" s="233"/>
      <c r="R91" s="326"/>
      <c r="S91" s="24"/>
      <c r="T91" s="25"/>
      <c r="U91" s="395"/>
      <c r="V91" s="377"/>
      <c r="W91" s="329"/>
      <c r="X91" s="274"/>
      <c r="Y91" s="329"/>
      <c r="AB91" s="133"/>
      <c r="AW91" s="233"/>
      <c r="AX91" s="233"/>
      <c r="BD91" s="24"/>
      <c r="BF91" s="60"/>
      <c r="BH91" s="24"/>
      <c r="BK91" s="24"/>
      <c r="BM91" s="24"/>
      <c r="BN91" s="24"/>
    </row>
    <row r="92" spans="1:66" s="37" customFormat="1" ht="15">
      <c r="A92" s="233"/>
      <c r="B92" s="234"/>
      <c r="C92" s="264"/>
      <c r="G92" s="326"/>
      <c r="H92" s="24"/>
      <c r="I92" s="19"/>
      <c r="J92" s="24"/>
      <c r="K92" s="24"/>
      <c r="L92" s="60"/>
      <c r="M92" s="73"/>
      <c r="N92" s="327"/>
      <c r="O92" s="233"/>
      <c r="P92" s="60"/>
      <c r="Q92" s="233"/>
      <c r="R92" s="326"/>
      <c r="S92" s="24"/>
      <c r="T92" s="25"/>
      <c r="U92" s="395"/>
      <c r="V92" s="377"/>
      <c r="W92" s="329"/>
      <c r="X92" s="274"/>
      <c r="Y92" s="329"/>
      <c r="AB92" s="133"/>
      <c r="AW92" s="233"/>
      <c r="AX92" s="233"/>
      <c r="BD92" s="24"/>
      <c r="BF92" s="60"/>
      <c r="BH92" s="24"/>
      <c r="BK92" s="24"/>
      <c r="BM92" s="24"/>
      <c r="BN92" s="24"/>
    </row>
    <row r="93" spans="1:66" s="37" customFormat="1" ht="15">
      <c r="A93" s="233"/>
      <c r="B93" s="234"/>
      <c r="C93" s="264"/>
      <c r="G93" s="326"/>
      <c r="H93" s="24"/>
      <c r="I93" s="19"/>
      <c r="J93" s="24"/>
      <c r="K93" s="24"/>
      <c r="L93" s="60"/>
      <c r="M93" s="73"/>
      <c r="N93" s="327"/>
      <c r="O93" s="233"/>
      <c r="P93" s="60"/>
      <c r="Q93" s="233"/>
      <c r="R93" s="326"/>
      <c r="S93" s="24"/>
      <c r="T93" s="25"/>
      <c r="U93" s="395"/>
      <c r="V93" s="377"/>
      <c r="W93" s="329"/>
      <c r="X93" s="274"/>
      <c r="Y93" s="329"/>
      <c r="AB93" s="133"/>
      <c r="AW93" s="233"/>
      <c r="AX93" s="233"/>
      <c r="BD93" s="24"/>
      <c r="BF93" s="60"/>
      <c r="BH93" s="24"/>
      <c r="BK93" s="24"/>
      <c r="BM93" s="24"/>
      <c r="BN93" s="24"/>
    </row>
    <row r="94" spans="1:66" s="37" customFormat="1" ht="15">
      <c r="A94" s="233"/>
      <c r="B94" s="234"/>
      <c r="C94" s="264"/>
      <c r="G94" s="326"/>
      <c r="H94" s="24"/>
      <c r="I94" s="19"/>
      <c r="J94" s="24"/>
      <c r="K94" s="24"/>
      <c r="L94" s="60"/>
      <c r="M94" s="73"/>
      <c r="N94" s="327"/>
      <c r="O94" s="233"/>
      <c r="P94" s="60"/>
      <c r="Q94" s="233"/>
      <c r="R94" s="326"/>
      <c r="S94" s="24"/>
      <c r="T94" s="25"/>
      <c r="U94" s="395"/>
      <c r="V94" s="377"/>
      <c r="W94" s="329"/>
      <c r="X94" s="274"/>
      <c r="Y94" s="329"/>
      <c r="AB94" s="133"/>
      <c r="AW94" s="233"/>
      <c r="AX94" s="233"/>
      <c r="BD94" s="24"/>
      <c r="BF94" s="60"/>
      <c r="BH94" s="24"/>
      <c r="BK94" s="24"/>
      <c r="BM94" s="24"/>
      <c r="BN94" s="24"/>
    </row>
    <row r="95" spans="1:66" s="37" customFormat="1" ht="15">
      <c r="A95" s="233"/>
      <c r="B95" s="234"/>
      <c r="C95" s="264"/>
      <c r="G95" s="326"/>
      <c r="H95" s="24"/>
      <c r="I95" s="19"/>
      <c r="J95" s="24"/>
      <c r="K95" s="24"/>
      <c r="L95" s="60"/>
      <c r="M95" s="73"/>
      <c r="N95" s="327"/>
      <c r="O95" s="233"/>
      <c r="P95" s="60"/>
      <c r="Q95" s="233"/>
      <c r="R95" s="326"/>
      <c r="S95" s="24"/>
      <c r="T95" s="25"/>
      <c r="U95" s="395"/>
      <c r="V95" s="377"/>
      <c r="W95" s="329"/>
      <c r="X95" s="274"/>
      <c r="Y95" s="329"/>
      <c r="AB95" s="133"/>
      <c r="AW95" s="233"/>
      <c r="AX95" s="233"/>
      <c r="BD95" s="24"/>
      <c r="BF95" s="60"/>
      <c r="BH95" s="24"/>
      <c r="BK95" s="24"/>
      <c r="BM95" s="24"/>
      <c r="BN95" s="24"/>
    </row>
    <row r="96" spans="1:66" s="37" customFormat="1" ht="15">
      <c r="A96" s="233"/>
      <c r="B96" s="234"/>
      <c r="C96" s="264"/>
      <c r="G96" s="326"/>
      <c r="H96" s="24"/>
      <c r="I96" s="19"/>
      <c r="J96" s="24"/>
      <c r="K96" s="24"/>
      <c r="L96" s="60"/>
      <c r="M96" s="73"/>
      <c r="N96" s="327"/>
      <c r="O96" s="233"/>
      <c r="P96" s="60"/>
      <c r="Q96" s="233"/>
      <c r="R96" s="326"/>
      <c r="S96" s="24"/>
      <c r="T96" s="25"/>
      <c r="U96" s="395"/>
      <c r="V96" s="377"/>
      <c r="W96" s="329"/>
      <c r="X96" s="274"/>
      <c r="Y96" s="329"/>
      <c r="AB96" s="133"/>
      <c r="AW96" s="233"/>
      <c r="AX96" s="233"/>
      <c r="BD96" s="24"/>
      <c r="BF96" s="60"/>
      <c r="BH96" s="24"/>
      <c r="BK96" s="24"/>
      <c r="BM96" s="24"/>
      <c r="BN96" s="24"/>
    </row>
    <row r="97" spans="1:66" s="37" customFormat="1" ht="15">
      <c r="A97" s="233"/>
      <c r="B97" s="234"/>
      <c r="C97" s="264"/>
      <c r="G97" s="326"/>
      <c r="H97" s="24"/>
      <c r="I97" s="19"/>
      <c r="J97" s="24"/>
      <c r="K97" s="24"/>
      <c r="L97" s="60"/>
      <c r="M97" s="73"/>
      <c r="N97" s="327"/>
      <c r="O97" s="233"/>
      <c r="P97" s="60"/>
      <c r="Q97" s="233"/>
      <c r="R97" s="326"/>
      <c r="S97" s="24"/>
      <c r="T97" s="25"/>
      <c r="U97" s="395"/>
      <c r="V97" s="377"/>
      <c r="W97" s="329"/>
      <c r="X97" s="274"/>
      <c r="Y97" s="329"/>
      <c r="AB97" s="133"/>
      <c r="AW97" s="233"/>
      <c r="AX97" s="233"/>
      <c r="BD97" s="24"/>
      <c r="BF97" s="60"/>
      <c r="BH97" s="24"/>
      <c r="BK97" s="24"/>
      <c r="BM97" s="24"/>
      <c r="BN97" s="24"/>
    </row>
    <row r="98" spans="1:66" s="37" customFormat="1" ht="15">
      <c r="A98" s="233"/>
      <c r="B98" s="234"/>
      <c r="C98" s="264"/>
      <c r="G98" s="326"/>
      <c r="H98" s="24"/>
      <c r="I98" s="19"/>
      <c r="J98" s="24"/>
      <c r="K98" s="24"/>
      <c r="L98" s="60"/>
      <c r="M98" s="73"/>
      <c r="N98" s="327"/>
      <c r="O98" s="233"/>
      <c r="P98" s="60"/>
      <c r="Q98" s="233"/>
      <c r="R98" s="326"/>
      <c r="S98" s="24"/>
      <c r="T98" s="25"/>
      <c r="U98" s="395"/>
      <c r="V98" s="377"/>
      <c r="W98" s="329"/>
      <c r="X98" s="274"/>
      <c r="Y98" s="329"/>
      <c r="AB98" s="133"/>
      <c r="AW98" s="233"/>
      <c r="AX98" s="233"/>
      <c r="BD98" s="24"/>
      <c r="BF98" s="60"/>
      <c r="BH98" s="24"/>
      <c r="BK98" s="24"/>
      <c r="BM98" s="24"/>
      <c r="BN98" s="24"/>
    </row>
    <row r="99" spans="1:66" s="37" customFormat="1" ht="15">
      <c r="A99" s="233"/>
      <c r="B99" s="234"/>
      <c r="C99" s="264"/>
      <c r="G99" s="326"/>
      <c r="H99" s="24"/>
      <c r="I99" s="19"/>
      <c r="J99" s="24"/>
      <c r="K99" s="24"/>
      <c r="L99" s="60"/>
      <c r="M99" s="73"/>
      <c r="N99" s="327"/>
      <c r="O99" s="233"/>
      <c r="P99" s="60"/>
      <c r="Q99" s="233"/>
      <c r="R99" s="326"/>
      <c r="S99" s="24"/>
      <c r="T99" s="25"/>
      <c r="U99" s="395"/>
      <c r="V99" s="377"/>
      <c r="W99" s="329"/>
      <c r="X99" s="274"/>
      <c r="Y99" s="329"/>
      <c r="AB99" s="133"/>
      <c r="AW99" s="233"/>
      <c r="AX99" s="233"/>
      <c r="BD99" s="24"/>
      <c r="BF99" s="60"/>
      <c r="BH99" s="24"/>
      <c r="BK99" s="24"/>
      <c r="BM99" s="24"/>
      <c r="BN99" s="24"/>
    </row>
    <row r="100" spans="1:66" s="37" customFormat="1" ht="15">
      <c r="A100" s="233"/>
      <c r="B100" s="234"/>
      <c r="C100" s="264"/>
      <c r="G100" s="326"/>
      <c r="H100" s="24"/>
      <c r="I100" s="19"/>
      <c r="J100" s="24"/>
      <c r="K100" s="24"/>
      <c r="L100" s="60"/>
      <c r="M100" s="73"/>
      <c r="N100" s="327"/>
      <c r="O100" s="233"/>
      <c r="P100" s="60"/>
      <c r="Q100" s="233"/>
      <c r="R100" s="326"/>
      <c r="S100" s="24"/>
      <c r="T100" s="25"/>
      <c r="U100" s="395"/>
      <c r="V100" s="377"/>
      <c r="W100" s="329"/>
      <c r="X100" s="274"/>
      <c r="Y100" s="329"/>
      <c r="AB100" s="133"/>
      <c r="AW100" s="233"/>
      <c r="AX100" s="233"/>
      <c r="BD100" s="24"/>
      <c r="BF100" s="60"/>
      <c r="BH100" s="24"/>
      <c r="BK100" s="24"/>
      <c r="BM100" s="24"/>
      <c r="BN100" s="24"/>
    </row>
    <row r="101" spans="1:66" s="37" customFormat="1" ht="15">
      <c r="A101" s="233"/>
      <c r="B101" s="234"/>
      <c r="C101" s="264"/>
      <c r="G101" s="326"/>
      <c r="H101" s="24"/>
      <c r="I101" s="19"/>
      <c r="J101" s="24"/>
      <c r="K101" s="24"/>
      <c r="L101" s="60"/>
      <c r="M101" s="73"/>
      <c r="N101" s="327"/>
      <c r="O101" s="233"/>
      <c r="P101" s="60"/>
      <c r="Q101" s="233"/>
      <c r="R101" s="326"/>
      <c r="S101" s="24"/>
      <c r="T101" s="25"/>
      <c r="U101" s="395"/>
      <c r="V101" s="377"/>
      <c r="W101" s="329"/>
      <c r="X101" s="274"/>
      <c r="Y101" s="329"/>
      <c r="AB101" s="133"/>
      <c r="AW101" s="233"/>
      <c r="AX101" s="233"/>
      <c r="BD101" s="24"/>
      <c r="BF101" s="60"/>
      <c r="BH101" s="24"/>
      <c r="BK101" s="24"/>
      <c r="BM101" s="24"/>
      <c r="BN101" s="24"/>
    </row>
    <row r="102" spans="1:66" s="37" customFormat="1" ht="15">
      <c r="A102" s="233"/>
      <c r="B102" s="234"/>
      <c r="C102" s="264"/>
      <c r="G102" s="326"/>
      <c r="H102" s="24"/>
      <c r="I102" s="19"/>
      <c r="J102" s="24"/>
      <c r="K102" s="24"/>
      <c r="L102" s="60"/>
      <c r="M102" s="73"/>
      <c r="N102" s="327"/>
      <c r="O102" s="233"/>
      <c r="P102" s="60"/>
      <c r="Q102" s="233"/>
      <c r="R102" s="326"/>
      <c r="S102" s="24"/>
      <c r="T102" s="25"/>
      <c r="U102" s="395"/>
      <c r="V102" s="377"/>
      <c r="W102" s="329"/>
      <c r="X102" s="274"/>
      <c r="Y102" s="329"/>
      <c r="AB102" s="133"/>
      <c r="AW102" s="233"/>
      <c r="AX102" s="233"/>
      <c r="BD102" s="24"/>
      <c r="BF102" s="60"/>
      <c r="BH102" s="24"/>
      <c r="BK102" s="24"/>
      <c r="BM102" s="24"/>
      <c r="BN102" s="24"/>
    </row>
    <row r="103" spans="1:25" ht="12">
      <c r="A103" s="233"/>
      <c r="W103" s="233"/>
      <c r="X103" s="274"/>
      <c r="Y103" s="233"/>
    </row>
    <row r="104" spans="1:6" ht="12">
      <c r="A104" s="233"/>
      <c r="B104" s="268"/>
      <c r="D104" s="268"/>
      <c r="E104" s="268"/>
      <c r="F104" s="268"/>
    </row>
    <row r="105" ht="12">
      <c r="A105" s="233"/>
    </row>
    <row r="106" ht="12">
      <c r="A106" s="233">
        <v>69</v>
      </c>
    </row>
  </sheetData>
  <mergeCells count="2">
    <mergeCell ref="BB15:BO15"/>
    <mergeCell ref="A1:Z1"/>
  </mergeCells>
  <printOptions gridLines="1"/>
  <pageMargins left="1.062992125984252" right="0.7480314960629921" top="0.7086614173228347" bottom="0.5118110236220472" header="0.5" footer="0.5"/>
  <pageSetup fitToHeight="1" fitToWidth="1" orientation="portrait" paperSize="9" scale="54"/>
  <rowBreaks count="1" manualBreakCount="1">
    <brk id="53" max="65535" man="1"/>
  </rowBreaks>
  <colBreaks count="1" manualBreakCount="1">
    <brk id="26"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Q104"/>
  <sheetViews>
    <sheetView showZeros="0" tabSelected="1" workbookViewId="0" topLeftCell="AN1">
      <pane ySplit="17" topLeftCell="BM18" activePane="bottomLeft" state="frozen"/>
      <selection pane="topLeft" activeCell="A1" sqref="A1"/>
      <selection pane="bottomLeft" activeCell="AY42" sqref="AY42"/>
    </sheetView>
  </sheetViews>
  <sheetFormatPr defaultColWidth="9.140625" defaultRowHeight="12.75"/>
  <cols>
    <col min="1" max="1" width="13.00390625" style="31" customWidth="1"/>
    <col min="2" max="2" width="10.421875" style="31" customWidth="1"/>
    <col min="3" max="3" width="7.8515625" style="34" hidden="1" customWidth="1"/>
    <col min="4" max="4" width="12.421875" style="31" customWidth="1"/>
    <col min="5" max="5" width="8.57421875" style="31" customWidth="1"/>
    <col min="6" max="6" width="6.140625" style="31" customWidth="1"/>
    <col min="7" max="7" width="7.57421875" style="191" customWidth="1"/>
    <col min="8" max="9" width="9.140625" style="24" customWidth="1"/>
    <col min="10" max="11" width="9.140625" style="34" customWidth="1"/>
    <col min="12" max="12" width="8.57421875" style="31" customWidth="1"/>
    <col min="13" max="13" width="9.140625" style="266" hidden="1" customWidth="1"/>
    <col min="14" max="14" width="9.140625" style="34" hidden="1" customWidth="1"/>
    <col min="15" max="15" width="9.140625" style="31" customWidth="1"/>
    <col min="16" max="16" width="8.421875" style="31" customWidth="1"/>
    <col min="17" max="17" width="8.140625" style="31" customWidth="1"/>
    <col min="18" max="18" width="0" style="34" hidden="1" customWidth="1"/>
    <col min="19" max="19" width="0" style="24" hidden="1" customWidth="1"/>
    <col min="20" max="20" width="0" style="25" hidden="1" customWidth="1"/>
    <col min="21" max="21" width="15.8515625" style="35" customWidth="1"/>
    <col min="22" max="22" width="8.140625" style="33" customWidth="1"/>
    <col min="23" max="23" width="9.140625" style="269" customWidth="1"/>
    <col min="24" max="24" width="9.140625" style="33" customWidth="1"/>
    <col min="25" max="25" width="8.57421875" style="31" customWidth="1"/>
    <col min="26" max="26" width="9.140625" style="31" customWidth="1"/>
    <col min="27" max="27" width="11.421875" style="32" customWidth="1"/>
    <col min="28" max="47" width="9.140625" style="31" customWidth="1"/>
    <col min="48" max="49" width="9.140625" style="33" customWidth="1"/>
    <col min="50" max="50" width="33.421875" style="31" customWidth="1"/>
    <col min="51" max="51" width="14.57421875" style="31" customWidth="1"/>
    <col min="52" max="52" width="9.140625" style="31" customWidth="1"/>
    <col min="53" max="54" width="12.57421875" style="31" customWidth="1"/>
    <col min="55" max="55" width="12.57421875" style="34" hidden="1" customWidth="1"/>
    <col min="56" max="56" width="12.57421875" style="31" customWidth="1"/>
    <col min="57" max="57" width="12.57421875" style="35" customWidth="1"/>
    <col min="58" max="58" width="12.57421875" style="31" customWidth="1"/>
    <col min="59" max="59" width="12.57421875" style="34" hidden="1" customWidth="1"/>
    <col min="60" max="61" width="12.57421875" style="31" customWidth="1"/>
    <col min="62" max="62" width="12.57421875" style="34" hidden="1" customWidth="1"/>
    <col min="63" max="63" width="12.57421875" style="31" customWidth="1"/>
    <col min="64" max="65" width="12.57421875" style="34" hidden="1" customWidth="1"/>
    <col min="66" max="66" width="12.57421875" style="31" customWidth="1"/>
    <col min="67" max="67" width="9.140625" style="31" customWidth="1"/>
    <col min="68" max="68" width="13.8515625" style="31" customWidth="1"/>
    <col min="69" max="16384" width="9.140625" style="31" customWidth="1"/>
  </cols>
  <sheetData>
    <row r="1" spans="1:57" s="10" customFormat="1" ht="27.75" customHeight="1">
      <c r="A1" s="272" t="s">
        <v>149</v>
      </c>
      <c r="B1" s="1"/>
      <c r="C1" s="2"/>
      <c r="D1" s="1"/>
      <c r="E1" s="1"/>
      <c r="F1" s="1"/>
      <c r="G1" s="3"/>
      <c r="H1" s="2"/>
      <c r="I1" s="2"/>
      <c r="J1" s="2"/>
      <c r="K1" s="2"/>
      <c r="L1" s="1"/>
      <c r="M1" s="4"/>
      <c r="N1" s="2"/>
      <c r="O1" s="1"/>
      <c r="P1" s="1"/>
      <c r="Q1" s="1"/>
      <c r="R1" s="2"/>
      <c r="S1" s="2"/>
      <c r="T1" s="5"/>
      <c r="U1" s="6"/>
      <c r="V1" s="1"/>
      <c r="W1" s="7"/>
      <c r="X1" s="1"/>
      <c r="Y1" s="1"/>
      <c r="Z1" s="8"/>
      <c r="AA1" s="9"/>
      <c r="AV1" s="11"/>
      <c r="AW1" s="11"/>
      <c r="BE1" s="12"/>
    </row>
    <row r="2" spans="1:57" s="278" customFormat="1" ht="36.75" hidden="1" thickTop="1">
      <c r="A2" s="286" t="s">
        <v>116</v>
      </c>
      <c r="B2" s="287"/>
      <c r="C2" s="287"/>
      <c r="D2" s="287"/>
      <c r="E2" s="287"/>
      <c r="F2" s="287"/>
      <c r="G2" s="288"/>
      <c r="H2" s="287"/>
      <c r="I2" s="287"/>
      <c r="J2" s="287"/>
      <c r="K2" s="287"/>
      <c r="L2" s="287"/>
      <c r="M2" s="289"/>
      <c r="N2" s="287"/>
      <c r="O2" s="287"/>
      <c r="P2" s="287"/>
      <c r="Q2" s="287"/>
      <c r="R2" s="287"/>
      <c r="S2" s="287"/>
      <c r="T2" s="290"/>
      <c r="U2" s="291"/>
      <c r="V2" s="292"/>
      <c r="W2" s="293"/>
      <c r="X2" s="294"/>
      <c r="Y2" s="295"/>
      <c r="AA2" s="279"/>
      <c r="AV2" s="280"/>
      <c r="AW2" s="280"/>
      <c r="BE2" s="281"/>
    </row>
    <row r="3" spans="1:57" s="10" customFormat="1" ht="36" hidden="1">
      <c r="A3" s="296" t="s">
        <v>118</v>
      </c>
      <c r="B3" s="297"/>
      <c r="C3" s="297"/>
      <c r="D3" s="297"/>
      <c r="E3" s="297"/>
      <c r="F3" s="297"/>
      <c r="G3" s="298"/>
      <c r="H3" s="297"/>
      <c r="I3" s="297"/>
      <c r="J3" s="297"/>
      <c r="K3" s="297"/>
      <c r="L3" s="297"/>
      <c r="M3" s="299"/>
      <c r="N3" s="297"/>
      <c r="O3" s="297"/>
      <c r="P3" s="300"/>
      <c r="Q3" s="300"/>
      <c r="R3" s="300"/>
      <c r="S3" s="300"/>
      <c r="T3" s="301"/>
      <c r="U3" s="302"/>
      <c r="V3" s="303"/>
      <c r="W3" s="304"/>
      <c r="X3" s="305"/>
      <c r="Y3" s="306"/>
      <c r="AA3" s="9"/>
      <c r="AV3" s="11"/>
      <c r="AW3" s="11"/>
      <c r="BE3" s="12"/>
    </row>
    <row r="4" spans="1:57" s="10" customFormat="1" ht="36" hidden="1">
      <c r="A4" s="296" t="s">
        <v>117</v>
      </c>
      <c r="B4" s="297"/>
      <c r="C4" s="297"/>
      <c r="D4" s="297"/>
      <c r="E4" s="297"/>
      <c r="F4" s="297"/>
      <c r="G4" s="298"/>
      <c r="H4" s="297"/>
      <c r="I4" s="297"/>
      <c r="J4" s="297"/>
      <c r="K4" s="297"/>
      <c r="L4" s="297"/>
      <c r="M4" s="299"/>
      <c r="N4" s="297"/>
      <c r="O4" s="297"/>
      <c r="P4" s="300"/>
      <c r="Q4" s="300"/>
      <c r="R4" s="300"/>
      <c r="S4" s="300"/>
      <c r="T4" s="301"/>
      <c r="U4" s="302"/>
      <c r="V4" s="303"/>
      <c r="W4" s="304"/>
      <c r="X4" s="305"/>
      <c r="Y4" s="306"/>
      <c r="AA4" s="9"/>
      <c r="AV4" s="11"/>
      <c r="AW4" s="11"/>
      <c r="BE4" s="12"/>
    </row>
    <row r="5" spans="1:57" s="10" customFormat="1" ht="24" hidden="1">
      <c r="A5" s="296" t="s">
        <v>120</v>
      </c>
      <c r="B5" s="297"/>
      <c r="C5" s="297"/>
      <c r="D5" s="297"/>
      <c r="E5" s="297"/>
      <c r="F5" s="297"/>
      <c r="G5" s="298"/>
      <c r="H5" s="297"/>
      <c r="I5" s="297"/>
      <c r="J5" s="297"/>
      <c r="K5" s="297"/>
      <c r="L5" s="297"/>
      <c r="M5" s="299"/>
      <c r="N5" s="297"/>
      <c r="O5" s="297"/>
      <c r="P5" s="300"/>
      <c r="Q5" s="300"/>
      <c r="R5" s="300"/>
      <c r="S5" s="300"/>
      <c r="T5" s="301"/>
      <c r="U5" s="302"/>
      <c r="V5" s="303"/>
      <c r="W5" s="304"/>
      <c r="X5" s="305"/>
      <c r="Y5" s="306"/>
      <c r="AA5" s="9"/>
      <c r="AV5" s="11"/>
      <c r="AW5" s="11"/>
      <c r="BE5" s="12"/>
    </row>
    <row r="6" spans="1:57" s="10" customFormat="1" ht="24" hidden="1">
      <c r="A6" s="296" t="s">
        <v>119</v>
      </c>
      <c r="B6" s="297"/>
      <c r="C6" s="297"/>
      <c r="D6" s="297"/>
      <c r="E6" s="297"/>
      <c r="F6" s="297"/>
      <c r="G6" s="298"/>
      <c r="H6" s="297"/>
      <c r="I6" s="297"/>
      <c r="J6" s="297"/>
      <c r="K6" s="297"/>
      <c r="L6" s="297"/>
      <c r="M6" s="299"/>
      <c r="N6" s="297"/>
      <c r="O6" s="297"/>
      <c r="P6" s="300"/>
      <c r="Q6" s="300"/>
      <c r="R6" s="300"/>
      <c r="S6" s="300"/>
      <c r="T6" s="301"/>
      <c r="U6" s="302"/>
      <c r="V6" s="303"/>
      <c r="W6" s="304"/>
      <c r="X6" s="305"/>
      <c r="Y6" s="306"/>
      <c r="AA6" s="9"/>
      <c r="AV6" s="11"/>
      <c r="AW6" s="11"/>
      <c r="BE6" s="12"/>
    </row>
    <row r="7" spans="1:57" s="10" customFormat="1" ht="36" hidden="1">
      <c r="A7" s="296" t="s">
        <v>146</v>
      </c>
      <c r="B7" s="297"/>
      <c r="C7" s="297"/>
      <c r="D7" s="297"/>
      <c r="E7" s="297"/>
      <c r="F7" s="297"/>
      <c r="G7" s="298"/>
      <c r="H7" s="297"/>
      <c r="I7" s="297"/>
      <c r="J7" s="297"/>
      <c r="K7" s="297"/>
      <c r="L7" s="297"/>
      <c r="M7" s="299"/>
      <c r="N7" s="297"/>
      <c r="O7" s="297"/>
      <c r="P7" s="300"/>
      <c r="Q7" s="300"/>
      <c r="R7" s="300"/>
      <c r="S7" s="300"/>
      <c r="T7" s="301"/>
      <c r="U7" s="302"/>
      <c r="V7" s="303"/>
      <c r="W7" s="304"/>
      <c r="X7" s="305"/>
      <c r="Y7" s="306"/>
      <c r="AA7" s="9"/>
      <c r="AV7" s="11"/>
      <c r="AW7" s="11"/>
      <c r="BE7" s="12"/>
    </row>
    <row r="8" spans="1:57" s="282" customFormat="1" ht="45.75" hidden="1" thickBot="1">
      <c r="A8" s="307" t="s">
        <v>147</v>
      </c>
      <c r="B8" s="308"/>
      <c r="C8" s="308"/>
      <c r="D8" s="308"/>
      <c r="E8" s="308"/>
      <c r="F8" s="308"/>
      <c r="G8" s="308"/>
      <c r="H8" s="308"/>
      <c r="I8" s="308"/>
      <c r="J8" s="308"/>
      <c r="K8" s="308"/>
      <c r="L8" s="308"/>
      <c r="M8" s="309"/>
      <c r="N8" s="308"/>
      <c r="O8" s="308"/>
      <c r="P8" s="310"/>
      <c r="Q8" s="310"/>
      <c r="R8" s="310"/>
      <c r="S8" s="310"/>
      <c r="T8" s="311"/>
      <c r="U8" s="312"/>
      <c r="V8" s="313"/>
      <c r="W8" s="314"/>
      <c r="X8" s="315"/>
      <c r="Y8" s="316"/>
      <c r="AA8" s="283"/>
      <c r="AV8" s="284"/>
      <c r="AW8" s="284"/>
      <c r="BE8" s="285"/>
    </row>
    <row r="9" spans="1:25" ht="21" customHeight="1" thickBot="1">
      <c r="A9" s="13" t="s">
        <v>121</v>
      </c>
      <c r="B9" s="277" t="str">
        <f>'8'' STR_CALC'!B9</f>
        <v>********</v>
      </c>
      <c r="C9" s="14"/>
      <c r="D9" s="15"/>
      <c r="G9" s="17"/>
      <c r="H9" s="18"/>
      <c r="I9" s="19"/>
      <c r="J9" s="16"/>
      <c r="K9" s="16"/>
      <c r="L9" s="276"/>
      <c r="M9" s="21"/>
      <c r="N9" s="22"/>
      <c r="O9" s="20"/>
      <c r="P9" s="20"/>
      <c r="Q9" s="20"/>
      <c r="R9" s="23"/>
      <c r="U9" s="26" t="s">
        <v>122</v>
      </c>
      <c r="V9" s="27" t="s">
        <v>123</v>
      </c>
      <c r="W9" s="28"/>
      <c r="X9" s="29"/>
      <c r="Y9" s="30" t="s">
        <v>124</v>
      </c>
    </row>
    <row r="10" spans="1:61" ht="13.5" thickBot="1">
      <c r="A10" s="13" t="s">
        <v>127</v>
      </c>
      <c r="B10" s="275">
        <f>2*'8'' STR_CALC'!B10</f>
        <v>818</v>
      </c>
      <c r="D10" s="36"/>
      <c r="E10" s="37"/>
      <c r="F10" s="37"/>
      <c r="G10" s="38"/>
      <c r="J10" s="14"/>
      <c r="K10" s="19"/>
      <c r="L10" s="36"/>
      <c r="M10" s="39"/>
      <c r="N10" s="14"/>
      <c r="O10" s="36"/>
      <c r="P10" s="36"/>
      <c r="Q10" s="36"/>
      <c r="R10" s="14"/>
      <c r="S10" s="23"/>
      <c r="U10" s="40" t="s">
        <v>125</v>
      </c>
      <c r="V10" s="41" t="s">
        <v>126</v>
      </c>
      <c r="W10" s="42"/>
      <c r="X10" s="41"/>
      <c r="Y10" s="43"/>
      <c r="BE10" s="44"/>
      <c r="BF10" s="45"/>
      <c r="BG10" s="24"/>
      <c r="BH10" s="46"/>
      <c r="BI10" s="47"/>
    </row>
    <row r="11" spans="1:61" ht="12.75">
      <c r="A11" s="36"/>
      <c r="B11" s="36"/>
      <c r="C11" s="36"/>
      <c r="D11" s="36"/>
      <c r="E11" s="49"/>
      <c r="F11" s="50"/>
      <c r="G11" s="38"/>
      <c r="H11" s="19"/>
      <c r="J11" s="48"/>
      <c r="L11" s="36"/>
      <c r="M11" s="39"/>
      <c r="N11" s="14"/>
      <c r="O11" s="36"/>
      <c r="P11" s="36"/>
      <c r="Q11" s="36"/>
      <c r="R11" s="14"/>
      <c r="S11" s="23"/>
      <c r="U11" s="40" t="s">
        <v>128</v>
      </c>
      <c r="V11" s="41" t="s">
        <v>129</v>
      </c>
      <c r="W11" s="42"/>
      <c r="X11" s="41"/>
      <c r="Y11" s="51"/>
      <c r="AE11" s="52"/>
      <c r="AF11" s="52"/>
      <c r="AG11" s="52"/>
      <c r="AH11" s="52"/>
      <c r="AI11" s="52"/>
      <c r="AJ11" s="52"/>
      <c r="AK11" s="52"/>
      <c r="BE11" s="46"/>
      <c r="BF11" s="47"/>
      <c r="BG11" s="24"/>
      <c r="BH11" s="46"/>
      <c r="BI11" s="47"/>
    </row>
    <row r="12" spans="1:61" ht="14.25" customHeight="1">
      <c r="A12" s="36"/>
      <c r="B12" s="36"/>
      <c r="C12" s="36"/>
      <c r="D12" s="36"/>
      <c r="E12" s="52"/>
      <c r="F12" s="52"/>
      <c r="G12" s="38"/>
      <c r="H12" s="19"/>
      <c r="J12" s="53"/>
      <c r="K12" s="53"/>
      <c r="L12" s="36"/>
      <c r="M12" s="39"/>
      <c r="N12" s="14"/>
      <c r="O12" s="36"/>
      <c r="P12" s="36"/>
      <c r="Q12" s="36"/>
      <c r="R12" s="14"/>
      <c r="S12" s="54"/>
      <c r="T12" s="55"/>
      <c r="U12" s="56" t="s">
        <v>130</v>
      </c>
      <c r="V12" s="57" t="s">
        <v>131</v>
      </c>
      <c r="W12" s="58"/>
      <c r="X12" s="57"/>
      <c r="Y12" s="59"/>
      <c r="AE12" s="52"/>
      <c r="AF12" s="52"/>
      <c r="AG12" s="52"/>
      <c r="AH12" s="52"/>
      <c r="AI12" s="52"/>
      <c r="AJ12" s="52"/>
      <c r="AK12" s="52"/>
      <c r="BE12" s="60"/>
      <c r="BF12" s="37"/>
      <c r="BG12" s="24"/>
      <c r="BH12" s="46"/>
      <c r="BI12" s="46"/>
    </row>
    <row r="13" spans="1:61" ht="14.25" customHeight="1" thickBot="1">
      <c r="A13" s="36"/>
      <c r="B13" s="36"/>
      <c r="C13" s="36"/>
      <c r="D13" s="36"/>
      <c r="E13" s="52"/>
      <c r="F13" s="52"/>
      <c r="G13" s="38"/>
      <c r="H13" s="19"/>
      <c r="J13" s="53"/>
      <c r="K13" s="53"/>
      <c r="L13" s="36"/>
      <c r="M13" s="39"/>
      <c r="N13" s="14"/>
      <c r="O13" s="36"/>
      <c r="P13" s="36"/>
      <c r="Q13" s="36"/>
      <c r="R13" s="14"/>
      <c r="U13" s="61"/>
      <c r="V13" s="41"/>
      <c r="W13" s="42"/>
      <c r="X13" s="41"/>
      <c r="Y13" s="37"/>
      <c r="AE13" s="52"/>
      <c r="AF13" s="52"/>
      <c r="AG13" s="52"/>
      <c r="AH13" s="52"/>
      <c r="AI13" s="52"/>
      <c r="AJ13" s="52"/>
      <c r="AK13" s="52"/>
      <c r="BE13" s="60"/>
      <c r="BF13" s="37"/>
      <c r="BG13" s="24"/>
      <c r="BH13" s="46"/>
      <c r="BI13" s="46"/>
    </row>
    <row r="14" spans="1:61" ht="14.25" thickBot="1" thickTop="1">
      <c r="A14" s="62"/>
      <c r="B14" s="63"/>
      <c r="C14" s="64"/>
      <c r="D14" s="65"/>
      <c r="E14" s="68" t="s">
        <v>112</v>
      </c>
      <c r="F14" s="69"/>
      <c r="G14" s="70"/>
      <c r="H14" s="71"/>
      <c r="I14" s="71">
        <f>2^(1/12)</f>
        <v>1.0594630943592953</v>
      </c>
      <c r="J14" s="66" t="s">
        <v>132</v>
      </c>
      <c r="K14" s="67"/>
      <c r="L14" s="72"/>
      <c r="M14" s="73"/>
      <c r="N14" s="74"/>
      <c r="O14" s="46"/>
      <c r="P14" s="75" t="s">
        <v>133</v>
      </c>
      <c r="Q14" s="76"/>
      <c r="R14" s="77"/>
      <c r="S14" s="77"/>
      <c r="T14" s="78"/>
      <c r="U14" s="79"/>
      <c r="V14" s="80"/>
      <c r="W14" s="81"/>
      <c r="X14" s="80"/>
      <c r="Y14" s="82" t="s">
        <v>134</v>
      </c>
      <c r="AL14" s="31" t="s">
        <v>135</v>
      </c>
      <c r="AN14" s="83" t="s">
        <v>136</v>
      </c>
      <c r="AO14" s="84"/>
      <c r="AP14" s="84"/>
      <c r="AQ14" s="84"/>
      <c r="AR14" s="84"/>
      <c r="AS14" s="84"/>
      <c r="AT14" s="85"/>
      <c r="AV14" s="86"/>
      <c r="AW14" s="86"/>
      <c r="AX14" s="87"/>
      <c r="AY14" s="87"/>
      <c r="BE14" s="88"/>
      <c r="BF14" s="89"/>
      <c r="BG14" s="90"/>
      <c r="BH14" s="91"/>
      <c r="BI14" s="91"/>
    </row>
    <row r="15" spans="1:68" ht="14.25" thickBot="1" thickTop="1">
      <c r="A15" s="92"/>
      <c r="B15" s="93"/>
      <c r="C15" s="24"/>
      <c r="D15" s="37"/>
      <c r="E15" s="96"/>
      <c r="F15" s="97" t="s">
        <v>140</v>
      </c>
      <c r="G15" s="98"/>
      <c r="H15" s="99"/>
      <c r="I15" s="100"/>
      <c r="J15" s="94" t="s">
        <v>138</v>
      </c>
      <c r="K15" s="95" t="s">
        <v>139</v>
      </c>
      <c r="L15" s="101" t="e">
        <f>SUM(L30:L80)</f>
        <v>#N/A</v>
      </c>
      <c r="M15" s="102"/>
      <c r="N15" s="102"/>
      <c r="O15" s="103"/>
      <c r="P15" s="104"/>
      <c r="Q15" s="105"/>
      <c r="R15" s="100"/>
      <c r="S15" s="100"/>
      <c r="T15" s="106"/>
      <c r="U15" s="107" t="s">
        <v>140</v>
      </c>
      <c r="V15" s="101" t="e">
        <f>SUM(V30:V80)</f>
        <v>#N/A</v>
      </c>
      <c r="W15" s="108"/>
      <c r="X15" s="108"/>
      <c r="Y15" s="109" t="e">
        <f>(V15-L15)/L15</f>
        <v>#N/A</v>
      </c>
      <c r="AL15" s="31" t="s">
        <v>141</v>
      </c>
      <c r="AN15" s="110" t="s">
        <v>142</v>
      </c>
      <c r="AO15" s="110" t="s">
        <v>143</v>
      </c>
      <c r="AP15" s="111" t="s">
        <v>144</v>
      </c>
      <c r="AQ15" s="112"/>
      <c r="AR15" s="112"/>
      <c r="AS15" s="112"/>
      <c r="AT15" s="113"/>
      <c r="AV15" s="86"/>
      <c r="AW15" s="86"/>
      <c r="AX15" s="87"/>
      <c r="AY15" s="87"/>
      <c r="BA15" s="398" t="s">
        <v>145</v>
      </c>
      <c r="BB15" s="399"/>
      <c r="BC15" s="399"/>
      <c r="BD15" s="399"/>
      <c r="BE15" s="399"/>
      <c r="BF15" s="399"/>
      <c r="BG15" s="399"/>
      <c r="BH15" s="399"/>
      <c r="BI15" s="399"/>
      <c r="BJ15" s="399"/>
      <c r="BK15" s="399"/>
      <c r="BL15" s="399"/>
      <c r="BM15" s="399"/>
      <c r="BN15" s="400"/>
      <c r="BO15" s="114"/>
      <c r="BP15" s="115" t="s">
        <v>114</v>
      </c>
    </row>
    <row r="16" spans="1:68" ht="13.5" thickTop="1">
      <c r="A16" s="116" t="s">
        <v>0</v>
      </c>
      <c r="B16" s="117" t="s">
        <v>1</v>
      </c>
      <c r="C16" s="118" t="s">
        <v>2</v>
      </c>
      <c r="D16" s="119" t="s">
        <v>3</v>
      </c>
      <c r="E16" s="121" t="s">
        <v>142</v>
      </c>
      <c r="F16" s="122" t="s">
        <v>6</v>
      </c>
      <c r="G16" s="123" t="s">
        <v>6</v>
      </c>
      <c r="H16" s="94" t="s">
        <v>7</v>
      </c>
      <c r="I16" s="124"/>
      <c r="J16" s="94" t="s">
        <v>4</v>
      </c>
      <c r="K16" s="120" t="s">
        <v>5</v>
      </c>
      <c r="L16" s="125" t="s">
        <v>8</v>
      </c>
      <c r="M16" s="126" t="s">
        <v>9</v>
      </c>
      <c r="N16" s="127" t="s">
        <v>10</v>
      </c>
      <c r="O16" s="128" t="s">
        <v>11</v>
      </c>
      <c r="P16" s="121" t="s">
        <v>12</v>
      </c>
      <c r="Q16" s="122" t="s">
        <v>6</v>
      </c>
      <c r="R16" s="123" t="s">
        <v>6</v>
      </c>
      <c r="S16" s="94" t="s">
        <v>7</v>
      </c>
      <c r="T16" s="129" t="s">
        <v>142</v>
      </c>
      <c r="U16" s="130" t="s">
        <v>13</v>
      </c>
      <c r="V16" s="131" t="s">
        <v>14</v>
      </c>
      <c r="W16" s="132" t="s">
        <v>9</v>
      </c>
      <c r="X16" s="125" t="s">
        <v>10</v>
      </c>
      <c r="Y16" s="128" t="s">
        <v>11</v>
      </c>
      <c r="Z16" s="37"/>
      <c r="AA16" s="133"/>
      <c r="AB16" s="37"/>
      <c r="AC16" s="37"/>
      <c r="AL16" s="31" t="s">
        <v>15</v>
      </c>
      <c r="AN16" s="134" t="s">
        <v>16</v>
      </c>
      <c r="AO16" s="134" t="s">
        <v>17</v>
      </c>
      <c r="AP16" s="110" t="s">
        <v>18</v>
      </c>
      <c r="AQ16" s="110" t="s">
        <v>18</v>
      </c>
      <c r="AR16" s="135" t="s">
        <v>18</v>
      </c>
      <c r="AS16" s="135" t="s">
        <v>19</v>
      </c>
      <c r="AT16" s="110" t="s">
        <v>20</v>
      </c>
      <c r="AV16" s="83" t="s">
        <v>21</v>
      </c>
      <c r="AW16" s="84"/>
      <c r="AX16" s="136"/>
      <c r="AY16" s="113"/>
      <c r="AZ16" s="87"/>
      <c r="BA16" s="137" t="s">
        <v>0</v>
      </c>
      <c r="BB16" s="138" t="s">
        <v>22</v>
      </c>
      <c r="BC16" s="139" t="s">
        <v>23</v>
      </c>
      <c r="BD16" s="140" t="s">
        <v>24</v>
      </c>
      <c r="BE16" s="141" t="s">
        <v>25</v>
      </c>
      <c r="BF16" s="142" t="s">
        <v>26</v>
      </c>
      <c r="BG16" s="143"/>
      <c r="BH16" s="144" t="s">
        <v>27</v>
      </c>
      <c r="BI16" s="145" t="s">
        <v>28</v>
      </c>
      <c r="BJ16" s="146"/>
      <c r="BK16" s="147" t="s">
        <v>29</v>
      </c>
      <c r="BL16" s="146"/>
      <c r="BM16" s="146"/>
      <c r="BN16" s="148" t="s">
        <v>8</v>
      </c>
      <c r="BO16" s="149"/>
      <c r="BP16" s="150" t="s">
        <v>113</v>
      </c>
    </row>
    <row r="17" spans="1:68" ht="16.5" thickBot="1">
      <c r="A17" s="151" t="s">
        <v>30</v>
      </c>
      <c r="B17" s="89"/>
      <c r="C17" s="152" t="s">
        <v>31</v>
      </c>
      <c r="D17" s="153" t="s">
        <v>32</v>
      </c>
      <c r="E17" s="156" t="s">
        <v>34</v>
      </c>
      <c r="F17" s="157" t="s">
        <v>35</v>
      </c>
      <c r="G17" s="158" t="s">
        <v>36</v>
      </c>
      <c r="H17" s="159" t="s">
        <v>37</v>
      </c>
      <c r="I17" s="160"/>
      <c r="J17" s="154"/>
      <c r="K17" s="155" t="s">
        <v>33</v>
      </c>
      <c r="L17" s="153" t="s">
        <v>38</v>
      </c>
      <c r="M17" s="161" t="s">
        <v>39</v>
      </c>
      <c r="N17" s="162"/>
      <c r="O17" s="163" t="s">
        <v>38</v>
      </c>
      <c r="P17" s="156" t="s">
        <v>38</v>
      </c>
      <c r="Q17" s="157" t="s">
        <v>35</v>
      </c>
      <c r="R17" s="164" t="s">
        <v>36</v>
      </c>
      <c r="S17" s="165" t="s">
        <v>37</v>
      </c>
      <c r="T17" s="166" t="s">
        <v>32</v>
      </c>
      <c r="U17" s="167"/>
      <c r="V17" s="163" t="s">
        <v>38</v>
      </c>
      <c r="W17" s="168" t="s">
        <v>39</v>
      </c>
      <c r="X17" s="163"/>
      <c r="Y17" s="163" t="s">
        <v>38</v>
      </c>
      <c r="Z17" s="37"/>
      <c r="AA17" s="133"/>
      <c r="AB17" s="37"/>
      <c r="AC17" s="37"/>
      <c r="AN17" s="169" t="s">
        <v>34</v>
      </c>
      <c r="AO17" s="169" t="s">
        <v>34</v>
      </c>
      <c r="AP17" s="169" t="s">
        <v>40</v>
      </c>
      <c r="AQ17" s="169" t="s">
        <v>41</v>
      </c>
      <c r="AR17" s="170" t="s">
        <v>42</v>
      </c>
      <c r="AS17" s="170"/>
      <c r="AT17" s="169" t="s">
        <v>19</v>
      </c>
      <c r="AV17" s="171" t="s">
        <v>43</v>
      </c>
      <c r="AW17" s="171" t="s">
        <v>44</v>
      </c>
      <c r="AX17" s="172" t="s">
        <v>45</v>
      </c>
      <c r="AY17" s="173" t="s">
        <v>46</v>
      </c>
      <c r="AZ17" s="87" t="s">
        <v>47</v>
      </c>
      <c r="BA17" s="174" t="s">
        <v>30</v>
      </c>
      <c r="BB17" s="175"/>
      <c r="BC17" s="176" t="s">
        <v>31</v>
      </c>
      <c r="BD17" s="177" t="s">
        <v>48</v>
      </c>
      <c r="BE17" s="178" t="s">
        <v>48</v>
      </c>
      <c r="BF17" s="179" t="s">
        <v>43</v>
      </c>
      <c r="BG17" s="180"/>
      <c r="BH17" s="181" t="s">
        <v>48</v>
      </c>
      <c r="BI17" s="182" t="s">
        <v>43</v>
      </c>
      <c r="BJ17" s="183"/>
      <c r="BK17" s="184" t="s">
        <v>49</v>
      </c>
      <c r="BL17" s="183"/>
      <c r="BM17" s="183"/>
      <c r="BN17" s="185" t="s">
        <v>50</v>
      </c>
      <c r="BO17" s="149"/>
      <c r="BP17" s="186" t="s">
        <v>115</v>
      </c>
    </row>
    <row r="18" spans="1:68" ht="15">
      <c r="A18" s="33">
        <v>4</v>
      </c>
      <c r="B18" s="187" t="s">
        <v>51</v>
      </c>
      <c r="C18" s="188">
        <f aca="true" t="shared" si="0" ref="C18:C62">C19/Frequency_multiplier</f>
        <v>60.798213754513995</v>
      </c>
      <c r="D18" s="189"/>
      <c r="E18" s="190"/>
      <c r="G18" s="191" t="e">
        <f aca="true" t="shared" si="1" ref="G18:G49">VLOOKUP(F18,$AV$18:$AY$38,2)</f>
        <v>#N/A</v>
      </c>
      <c r="H18" s="24" t="e">
        <f>VLOOKUP(F18,$AV$19:$AY$39,4)</f>
        <v>#N/A</v>
      </c>
      <c r="I18" s="192" t="e">
        <f aca="true" t="shared" si="2" ref="I18:I49">(H18*PI())/(9.81*10^12)</f>
        <v>#N/A</v>
      </c>
      <c r="J18" s="24" t="e">
        <f aca="true" t="shared" si="3" ref="J18:J49">LOG(D18)</f>
        <v>#NUM!</v>
      </c>
      <c r="K18" s="24" t="e">
        <f>LOG(16*D42)</f>
        <v>#NUM!</v>
      </c>
      <c r="L18" s="193" t="e">
        <f aca="true" t="shared" si="4" ref="L18:L49">IF(F18="c",BN18,(C18*D18*E18)^2*I18)</f>
        <v>#N/A</v>
      </c>
      <c r="M18" s="194">
        <v>0</v>
      </c>
      <c r="N18" s="195" t="e">
        <f aca="true" t="shared" si="5" ref="N18:N49">M18*L18</f>
        <v>#N/A</v>
      </c>
      <c r="O18" s="196">
        <f aca="true" t="shared" si="6" ref="O18:O49">IF(F18=1,VLOOKUP(E18,$AO$18:$AT$47,2),IF(F18=1.2,VLOOKUP(E18,$AO$18:$AT$47,3),IF(F18=1.3,VLOOKUP(E18,$AO$18:$AT$47,4),IF(F18=2,VLOOKUP(E18,$AO$18:$AT$47,5),IF(F18=3,VLOOKUP(E18,$AO$18:$AT$47,6),0)))))</f>
        <v>0</v>
      </c>
      <c r="P18" s="190"/>
      <c r="R18" s="191" t="e">
        <f aca="true" t="shared" si="7" ref="R18:R49">VLOOKUP(Q18,$AV$18:$AY$38,2)</f>
        <v>#N/A</v>
      </c>
      <c r="S18" s="24" t="e">
        <f aca="true" t="shared" si="8" ref="S18:S49">VLOOKUP(Q18,$AV$19:$AY$38,4)</f>
        <v>#N/A</v>
      </c>
      <c r="T18" s="25" t="e">
        <f aca="true" t="shared" si="9" ref="T18:T49">SQRT(P18/((PI()*S18)/(9.81*10^12)*(C18*D18)^2))</f>
        <v>#N/A</v>
      </c>
      <c r="U18" s="197" t="e">
        <f aca="true" t="shared" si="10" ref="U18:U49">IF(Q18&gt;14,VLOOKUP(T18,$AN$53:$AR$71,2),VLOOKUP(T18,$AN$18:$AO$47,2))</f>
        <v>#N/A</v>
      </c>
      <c r="V18" s="198" t="e">
        <f aca="true" t="shared" si="11" ref="V18:V49">(C18*D18*U18)^2*(S18*PI())/(9.81*10^12)</f>
        <v>#N/A</v>
      </c>
      <c r="W18" s="199">
        <f aca="true" t="shared" si="12" ref="W18:W49">M18</f>
        <v>0</v>
      </c>
      <c r="X18" s="198" t="e">
        <f aca="true" t="shared" si="13" ref="X18:X49">W18*V18</f>
        <v>#N/A</v>
      </c>
      <c r="Y18" s="196">
        <f aca="true" t="shared" si="14" ref="Y18:Y49">IF(Q18=1,VLOOKUP(U18,$AO$18:$AT$47,2),IF(Q18=1.2,VLOOKUP(U18,$AO$18:$AT$47,3),IF(Q18=1.3,VLOOKUP(U18,$AO$18:$AT$47,4),IF(Q18=2,VLOOKUP(U18,$AO$18:$AT$47,5),IF(Q18=3,VLOOKUP(U18,$AO$18:$AT$47,6),0)))))</f>
        <v>0</v>
      </c>
      <c r="AN18" s="200"/>
      <c r="AO18" s="37">
        <v>0.15</v>
      </c>
      <c r="AP18" s="37"/>
      <c r="AQ18" s="37"/>
      <c r="AR18" s="37"/>
      <c r="AS18" s="37"/>
      <c r="AT18" s="43"/>
      <c r="AV18" s="201" t="s">
        <v>137</v>
      </c>
      <c r="AW18" s="201"/>
      <c r="AX18" s="202" t="s">
        <v>52</v>
      </c>
      <c r="AY18" s="203"/>
      <c r="AZ18" s="87"/>
      <c r="BA18" s="204">
        <f aca="true" t="shared" si="15" ref="BA18:BA41">$A18</f>
        <v>4</v>
      </c>
      <c r="BB18" s="205" t="str">
        <f aca="true" t="shared" si="16" ref="BB18:BB41">$B18</f>
        <v>CC</v>
      </c>
      <c r="BC18" s="206">
        <f aca="true" t="shared" si="17" ref="BC18:BC41">C18</f>
        <v>60.798213754513995</v>
      </c>
      <c r="BD18" s="207">
        <f aca="true" t="shared" si="18" ref="BD18:BD41">$D18</f>
        <v>0</v>
      </c>
      <c r="BE18" s="208"/>
      <c r="BF18" s="209"/>
      <c r="BG18" s="210" t="e">
        <f aca="true" t="shared" si="19" ref="BG18:BG41">VLOOKUP(BF18,$AV$19:$AY$38,4)</f>
        <v>#N/A</v>
      </c>
      <c r="BH18" s="211"/>
      <c r="BI18" s="212"/>
      <c r="BJ18" s="210" t="e">
        <f aca="true" t="shared" si="20" ref="BJ18:BJ41">VLOOKUP(BI18,$AV$19:$AY$38,4)</f>
        <v>#N/A</v>
      </c>
      <c r="BK18" s="213"/>
      <c r="BL18" s="214" t="e">
        <f aca="true" t="shared" si="21" ref="BL18:BL41">SQRT(1+(PI()^2*(BE18+BH18)^2)/BK18^2)</f>
        <v>#DIV/0!</v>
      </c>
      <c r="BM18" s="214" t="e">
        <f aca="true" t="shared" si="22" ref="BM18:BM41">(BE18^2*BG18)+BH18^2*BJ18*BL18</f>
        <v>#N/A</v>
      </c>
      <c r="BN18" s="215" t="e">
        <f aca="true" t="shared" si="23" ref="BN18:BN35">(BC18^2*BD18^2*PI()/(9.81*10^12))*BM18</f>
        <v>#N/A</v>
      </c>
      <c r="BO18" s="216"/>
      <c r="BP18" s="217"/>
    </row>
    <row r="19" spans="1:68" ht="15">
      <c r="A19" s="33">
        <v>5</v>
      </c>
      <c r="B19" s="187" t="s">
        <v>53</v>
      </c>
      <c r="C19" s="188">
        <f t="shared" si="0"/>
        <v>64.41346367587526</v>
      </c>
      <c r="D19" s="189"/>
      <c r="E19" s="190"/>
      <c r="G19" s="191" t="e">
        <f t="shared" si="1"/>
        <v>#N/A</v>
      </c>
      <c r="H19" s="24" t="e">
        <f aca="true" t="shared" si="24" ref="H19:H82">VLOOKUP(F19,$AV$19:$AY$39,4)</f>
        <v>#N/A</v>
      </c>
      <c r="I19" s="218" t="e">
        <f t="shared" si="2"/>
        <v>#N/A</v>
      </c>
      <c r="J19" s="24" t="e">
        <f t="shared" si="3"/>
        <v>#NUM!</v>
      </c>
      <c r="K19" s="24"/>
      <c r="L19" s="193" t="e">
        <f t="shared" si="4"/>
        <v>#N/A</v>
      </c>
      <c r="M19" s="194">
        <v>0</v>
      </c>
      <c r="N19" s="195" t="e">
        <f t="shared" si="5"/>
        <v>#N/A</v>
      </c>
      <c r="O19" s="196">
        <f t="shared" si="6"/>
        <v>0</v>
      </c>
      <c r="P19" s="190"/>
      <c r="R19" s="191" t="e">
        <f t="shared" si="7"/>
        <v>#N/A</v>
      </c>
      <c r="S19" s="24" t="e">
        <f t="shared" si="8"/>
        <v>#N/A</v>
      </c>
      <c r="T19" s="25" t="e">
        <f t="shared" si="9"/>
        <v>#N/A</v>
      </c>
      <c r="U19" s="197" t="e">
        <f t="shared" si="10"/>
        <v>#N/A</v>
      </c>
      <c r="V19" s="198" t="e">
        <f t="shared" si="11"/>
        <v>#N/A</v>
      </c>
      <c r="W19" s="199">
        <f t="shared" si="12"/>
        <v>0</v>
      </c>
      <c r="X19" s="198" t="e">
        <f t="shared" si="13"/>
        <v>#N/A</v>
      </c>
      <c r="Y19" s="196">
        <f t="shared" si="14"/>
        <v>0</v>
      </c>
      <c r="AN19" s="200">
        <v>0.155</v>
      </c>
      <c r="AO19" s="37">
        <v>0.16</v>
      </c>
      <c r="AP19" s="37"/>
      <c r="AQ19" s="37"/>
      <c r="AR19" s="37"/>
      <c r="AS19" s="37"/>
      <c r="AT19" s="43"/>
      <c r="AV19" s="219">
        <v>1</v>
      </c>
      <c r="AW19" s="219">
        <v>0.5</v>
      </c>
      <c r="AX19" s="220" t="s">
        <v>54</v>
      </c>
      <c r="AY19" s="43">
        <v>7769</v>
      </c>
      <c r="AZ19" s="87"/>
      <c r="BA19" s="204">
        <f t="shared" si="15"/>
        <v>5</v>
      </c>
      <c r="BB19" s="205" t="str">
        <f t="shared" si="16"/>
        <v>CC #</v>
      </c>
      <c r="BC19" s="206">
        <f t="shared" si="17"/>
        <v>64.41346367587526</v>
      </c>
      <c r="BD19" s="207">
        <f t="shared" si="18"/>
        <v>0</v>
      </c>
      <c r="BE19" s="208"/>
      <c r="BF19" s="209"/>
      <c r="BG19" s="210" t="e">
        <f t="shared" si="19"/>
        <v>#N/A</v>
      </c>
      <c r="BH19" s="211"/>
      <c r="BI19" s="212"/>
      <c r="BJ19" s="210" t="e">
        <f t="shared" si="20"/>
        <v>#N/A</v>
      </c>
      <c r="BK19" s="213"/>
      <c r="BL19" s="214" t="e">
        <f t="shared" si="21"/>
        <v>#DIV/0!</v>
      </c>
      <c r="BM19" s="214" t="e">
        <f t="shared" si="22"/>
        <v>#N/A</v>
      </c>
      <c r="BN19" s="215" t="e">
        <f t="shared" si="23"/>
        <v>#N/A</v>
      </c>
      <c r="BO19" s="216"/>
      <c r="BP19" s="217"/>
    </row>
    <row r="20" spans="1:68" ht="15">
      <c r="A20" s="33">
        <v>6</v>
      </c>
      <c r="B20" s="187" t="s">
        <v>55</v>
      </c>
      <c r="C20" s="188">
        <f t="shared" si="0"/>
        <v>68.24368754444288</v>
      </c>
      <c r="D20" s="189"/>
      <c r="E20" s="221"/>
      <c r="G20" s="191" t="e">
        <f t="shared" si="1"/>
        <v>#N/A</v>
      </c>
      <c r="H20" s="24" t="e">
        <f t="shared" si="24"/>
        <v>#N/A</v>
      </c>
      <c r="I20" s="218" t="e">
        <f t="shared" si="2"/>
        <v>#N/A</v>
      </c>
      <c r="J20" s="24" t="e">
        <f t="shared" si="3"/>
        <v>#NUM!</v>
      </c>
      <c r="K20" s="24"/>
      <c r="L20" s="193" t="e">
        <f t="shared" si="4"/>
        <v>#N/A</v>
      </c>
      <c r="M20" s="194">
        <v>0</v>
      </c>
      <c r="N20" s="195" t="e">
        <f t="shared" si="5"/>
        <v>#N/A</v>
      </c>
      <c r="O20" s="196">
        <f t="shared" si="6"/>
        <v>0</v>
      </c>
      <c r="P20" s="221"/>
      <c r="Q20" s="35"/>
      <c r="R20" s="191" t="e">
        <f t="shared" si="7"/>
        <v>#N/A</v>
      </c>
      <c r="S20" s="24" t="e">
        <f t="shared" si="8"/>
        <v>#N/A</v>
      </c>
      <c r="T20" s="25" t="e">
        <f t="shared" si="9"/>
        <v>#N/A</v>
      </c>
      <c r="U20" s="197" t="e">
        <f t="shared" si="10"/>
        <v>#N/A</v>
      </c>
      <c r="V20" s="198" t="e">
        <f t="shared" si="11"/>
        <v>#N/A</v>
      </c>
      <c r="W20" s="199">
        <f t="shared" si="12"/>
        <v>0</v>
      </c>
      <c r="X20" s="198" t="e">
        <f t="shared" si="13"/>
        <v>#N/A</v>
      </c>
      <c r="Y20" s="196">
        <f t="shared" si="14"/>
        <v>0</v>
      </c>
      <c r="AN20" s="200">
        <v>0.165</v>
      </c>
      <c r="AO20" s="37">
        <v>0.17</v>
      </c>
      <c r="AP20" s="37"/>
      <c r="AQ20" s="37"/>
      <c r="AR20" s="37"/>
      <c r="AS20" s="37"/>
      <c r="AT20" s="43"/>
      <c r="AV20" s="219">
        <v>2</v>
      </c>
      <c r="AW20" s="219">
        <v>1</v>
      </c>
      <c r="AX20" s="220" t="s">
        <v>56</v>
      </c>
      <c r="AY20" s="43">
        <v>8536</v>
      </c>
      <c r="AZ20" s="87"/>
      <c r="BA20" s="204">
        <f t="shared" si="15"/>
        <v>6</v>
      </c>
      <c r="BB20" s="205" t="str">
        <f t="shared" si="16"/>
        <v>DD</v>
      </c>
      <c r="BC20" s="206">
        <f t="shared" si="17"/>
        <v>68.24368754444288</v>
      </c>
      <c r="BD20" s="207">
        <f t="shared" si="18"/>
        <v>0</v>
      </c>
      <c r="BE20" s="208"/>
      <c r="BF20" s="209"/>
      <c r="BG20" s="210" t="e">
        <f t="shared" si="19"/>
        <v>#N/A</v>
      </c>
      <c r="BH20" s="211"/>
      <c r="BI20" s="212"/>
      <c r="BJ20" s="210" t="e">
        <f t="shared" si="20"/>
        <v>#N/A</v>
      </c>
      <c r="BK20" s="213"/>
      <c r="BL20" s="214" t="e">
        <f t="shared" si="21"/>
        <v>#DIV/0!</v>
      </c>
      <c r="BM20" s="214" t="e">
        <f t="shared" si="22"/>
        <v>#N/A</v>
      </c>
      <c r="BN20" s="215" t="e">
        <f t="shared" si="23"/>
        <v>#N/A</v>
      </c>
      <c r="BO20" s="216"/>
      <c r="BP20" s="217"/>
    </row>
    <row r="21" spans="1:68" ht="15">
      <c r="A21" s="33">
        <v>7</v>
      </c>
      <c r="B21" s="187" t="s">
        <v>57</v>
      </c>
      <c r="C21" s="188">
        <f t="shared" si="0"/>
        <v>72.30166837632434</v>
      </c>
      <c r="D21" s="189"/>
      <c r="E21" s="190"/>
      <c r="G21" s="191" t="e">
        <f t="shared" si="1"/>
        <v>#N/A</v>
      </c>
      <c r="H21" s="24" t="e">
        <f t="shared" si="24"/>
        <v>#N/A</v>
      </c>
      <c r="I21" s="218" t="e">
        <f t="shared" si="2"/>
        <v>#N/A</v>
      </c>
      <c r="J21" s="222" t="e">
        <f t="shared" si="3"/>
        <v>#NUM!</v>
      </c>
      <c r="K21" s="24"/>
      <c r="L21" s="193" t="e">
        <f t="shared" si="4"/>
        <v>#N/A</v>
      </c>
      <c r="M21" s="194">
        <v>0</v>
      </c>
      <c r="N21" s="195" t="e">
        <f t="shared" si="5"/>
        <v>#N/A</v>
      </c>
      <c r="O21" s="196">
        <f t="shared" si="6"/>
        <v>0</v>
      </c>
      <c r="P21" s="190"/>
      <c r="R21" s="191" t="e">
        <f t="shared" si="7"/>
        <v>#N/A</v>
      </c>
      <c r="S21" s="24" t="e">
        <f t="shared" si="8"/>
        <v>#N/A</v>
      </c>
      <c r="T21" s="25" t="e">
        <f t="shared" si="9"/>
        <v>#N/A</v>
      </c>
      <c r="U21" s="197" t="e">
        <f t="shared" si="10"/>
        <v>#N/A</v>
      </c>
      <c r="V21" s="198" t="e">
        <f t="shared" si="11"/>
        <v>#N/A</v>
      </c>
      <c r="W21" s="199">
        <f t="shared" si="12"/>
        <v>0</v>
      </c>
      <c r="X21" s="198" t="e">
        <f t="shared" si="13"/>
        <v>#N/A</v>
      </c>
      <c r="Y21" s="196">
        <f t="shared" si="14"/>
        <v>0</v>
      </c>
      <c r="AN21" s="200">
        <v>0.18</v>
      </c>
      <c r="AO21" s="37">
        <v>0.19</v>
      </c>
      <c r="AP21" s="37">
        <v>3.1</v>
      </c>
      <c r="AQ21" s="37"/>
      <c r="AR21" s="37"/>
      <c r="AS21" s="37">
        <v>2.3</v>
      </c>
      <c r="AT21" s="43"/>
      <c r="AV21" s="219">
        <v>3</v>
      </c>
      <c r="AW21" s="219">
        <v>1.5</v>
      </c>
      <c r="AX21" s="220" t="s">
        <v>58</v>
      </c>
      <c r="AY21" s="43">
        <v>8769</v>
      </c>
      <c r="AZ21" s="87"/>
      <c r="BA21" s="204">
        <f t="shared" si="15"/>
        <v>7</v>
      </c>
      <c r="BB21" s="205" t="str">
        <f t="shared" si="16"/>
        <v>DD #</v>
      </c>
      <c r="BC21" s="206">
        <f t="shared" si="17"/>
        <v>72.30166837632434</v>
      </c>
      <c r="BD21" s="207">
        <f t="shared" si="18"/>
        <v>0</v>
      </c>
      <c r="BE21" s="208"/>
      <c r="BF21" s="209"/>
      <c r="BG21" s="210" t="e">
        <f t="shared" si="19"/>
        <v>#N/A</v>
      </c>
      <c r="BH21" s="211"/>
      <c r="BI21" s="212"/>
      <c r="BJ21" s="210" t="e">
        <f t="shared" si="20"/>
        <v>#N/A</v>
      </c>
      <c r="BK21" s="213"/>
      <c r="BL21" s="214" t="e">
        <f t="shared" si="21"/>
        <v>#DIV/0!</v>
      </c>
      <c r="BM21" s="214" t="e">
        <f t="shared" si="22"/>
        <v>#N/A</v>
      </c>
      <c r="BN21" s="215" t="e">
        <f t="shared" si="23"/>
        <v>#N/A</v>
      </c>
      <c r="BO21" s="216"/>
      <c r="BP21" s="217"/>
    </row>
    <row r="22" spans="1:68" s="37" customFormat="1" ht="15">
      <c r="A22" s="233">
        <v>8</v>
      </c>
      <c r="B22" s="234" t="s">
        <v>59</v>
      </c>
      <c r="C22" s="235">
        <f t="shared" si="0"/>
        <v>76.6009493053202</v>
      </c>
      <c r="D22" s="189"/>
      <c r="E22" s="190"/>
      <c r="G22" s="191" t="e">
        <f t="shared" si="1"/>
        <v>#N/A</v>
      </c>
      <c r="H22" s="24" t="e">
        <f t="shared" si="24"/>
        <v>#N/A</v>
      </c>
      <c r="I22" s="218" t="e">
        <f t="shared" si="2"/>
        <v>#N/A</v>
      </c>
      <c r="J22" s="222" t="e">
        <f t="shared" si="3"/>
        <v>#NUM!</v>
      </c>
      <c r="K22" s="24"/>
      <c r="L22" s="193" t="e">
        <f t="shared" si="4"/>
        <v>#N/A</v>
      </c>
      <c r="M22" s="194"/>
      <c r="N22" s="195" t="e">
        <f t="shared" si="5"/>
        <v>#N/A</v>
      </c>
      <c r="O22" s="196">
        <f t="shared" si="6"/>
        <v>0</v>
      </c>
      <c r="P22" s="190"/>
      <c r="R22" s="191" t="e">
        <f t="shared" si="7"/>
        <v>#N/A</v>
      </c>
      <c r="S22" s="24" t="e">
        <f t="shared" si="8"/>
        <v>#N/A</v>
      </c>
      <c r="T22" s="25" t="e">
        <f t="shared" si="9"/>
        <v>#N/A</v>
      </c>
      <c r="U22" s="197" t="e">
        <f t="shared" si="10"/>
        <v>#N/A</v>
      </c>
      <c r="V22" s="198" t="e">
        <f t="shared" si="11"/>
        <v>#N/A</v>
      </c>
      <c r="W22" s="199">
        <f t="shared" si="12"/>
        <v>0</v>
      </c>
      <c r="X22" s="198" t="e">
        <f t="shared" si="13"/>
        <v>#N/A</v>
      </c>
      <c r="Y22" s="196">
        <f t="shared" si="14"/>
        <v>0</v>
      </c>
      <c r="AA22" s="133"/>
      <c r="AN22" s="200">
        <v>0.2</v>
      </c>
      <c r="AO22" s="37">
        <v>0.21</v>
      </c>
      <c r="AP22" s="37">
        <v>3.7</v>
      </c>
      <c r="AS22" s="37">
        <v>2.8</v>
      </c>
      <c r="AT22" s="43"/>
      <c r="AV22" s="224">
        <v>4</v>
      </c>
      <c r="AW22" s="224"/>
      <c r="AX22" s="225" t="s">
        <v>60</v>
      </c>
      <c r="AY22" s="226">
        <v>8890</v>
      </c>
      <c r="AZ22" s="273"/>
      <c r="BA22" s="204">
        <f t="shared" si="15"/>
        <v>8</v>
      </c>
      <c r="BB22" s="205" t="str">
        <f t="shared" si="16"/>
        <v>EE</v>
      </c>
      <c r="BC22" s="206">
        <f t="shared" si="17"/>
        <v>76.6009493053202</v>
      </c>
      <c r="BD22" s="207">
        <f t="shared" si="18"/>
        <v>0</v>
      </c>
      <c r="BE22" s="208"/>
      <c r="BF22" s="209"/>
      <c r="BG22" s="210" t="e">
        <f t="shared" si="19"/>
        <v>#N/A</v>
      </c>
      <c r="BH22" s="211"/>
      <c r="BI22" s="212"/>
      <c r="BJ22" s="210" t="e">
        <f t="shared" si="20"/>
        <v>#N/A</v>
      </c>
      <c r="BK22" s="213"/>
      <c r="BL22" s="214" t="e">
        <f t="shared" si="21"/>
        <v>#DIV/0!</v>
      </c>
      <c r="BM22" s="214" t="e">
        <f t="shared" si="22"/>
        <v>#N/A</v>
      </c>
      <c r="BN22" s="215" t="e">
        <f t="shared" si="23"/>
        <v>#N/A</v>
      </c>
      <c r="BO22" s="216"/>
      <c r="BP22" s="150"/>
    </row>
    <row r="23" spans="1:68" ht="15">
      <c r="A23" s="33">
        <v>9</v>
      </c>
      <c r="B23" s="187" t="s">
        <v>61</v>
      </c>
      <c r="C23" s="188">
        <f t="shared" si="0"/>
        <v>81.15587878187405</v>
      </c>
      <c r="D23" s="227"/>
      <c r="E23" s="223"/>
      <c r="G23" s="191" t="e">
        <f t="shared" si="1"/>
        <v>#N/A</v>
      </c>
      <c r="H23" s="24" t="e">
        <f t="shared" si="24"/>
        <v>#N/A</v>
      </c>
      <c r="I23" s="218" t="e">
        <f t="shared" si="2"/>
        <v>#N/A</v>
      </c>
      <c r="J23" s="222" t="e">
        <f t="shared" si="3"/>
        <v>#NUM!</v>
      </c>
      <c r="K23" s="24"/>
      <c r="L23" s="193" t="e">
        <f t="shared" si="4"/>
        <v>#N/A</v>
      </c>
      <c r="M23" s="194"/>
      <c r="N23" s="195" t="e">
        <f t="shared" si="5"/>
        <v>#N/A</v>
      </c>
      <c r="O23" s="196">
        <f t="shared" si="6"/>
        <v>0</v>
      </c>
      <c r="P23" s="190"/>
      <c r="R23" s="191" t="e">
        <f t="shared" si="7"/>
        <v>#N/A</v>
      </c>
      <c r="S23" s="24" t="e">
        <f t="shared" si="8"/>
        <v>#N/A</v>
      </c>
      <c r="T23" s="25" t="e">
        <f t="shared" si="9"/>
        <v>#N/A</v>
      </c>
      <c r="U23" s="197" t="e">
        <f t="shared" si="10"/>
        <v>#N/A</v>
      </c>
      <c r="V23" s="198" t="e">
        <f t="shared" si="11"/>
        <v>#N/A</v>
      </c>
      <c r="W23" s="199">
        <f t="shared" si="12"/>
        <v>0</v>
      </c>
      <c r="X23" s="198" t="e">
        <f t="shared" si="13"/>
        <v>#N/A</v>
      </c>
      <c r="Y23" s="196">
        <f t="shared" si="14"/>
        <v>0</v>
      </c>
      <c r="AN23" s="200">
        <v>0.22</v>
      </c>
      <c r="AO23" s="37">
        <v>0.23</v>
      </c>
      <c r="AP23" s="37">
        <v>4.3</v>
      </c>
      <c r="AQ23" s="37"/>
      <c r="AR23" s="37"/>
      <c r="AS23" s="37">
        <v>3.2</v>
      </c>
      <c r="AT23" s="43"/>
      <c r="AV23" s="224">
        <v>5</v>
      </c>
      <c r="AW23" s="224"/>
      <c r="AX23" s="225" t="s">
        <v>62</v>
      </c>
      <c r="AY23" s="226">
        <v>8730</v>
      </c>
      <c r="AZ23" s="87"/>
      <c r="BA23" s="204">
        <f t="shared" si="15"/>
        <v>9</v>
      </c>
      <c r="BB23" s="205" t="str">
        <f t="shared" si="16"/>
        <v>FF</v>
      </c>
      <c r="BC23" s="206">
        <f t="shared" si="17"/>
        <v>81.15587878187405</v>
      </c>
      <c r="BD23" s="207">
        <f t="shared" si="18"/>
        <v>0</v>
      </c>
      <c r="BE23" s="208"/>
      <c r="BF23" s="209"/>
      <c r="BG23" s="210" t="e">
        <f t="shared" si="19"/>
        <v>#N/A</v>
      </c>
      <c r="BH23" s="211"/>
      <c r="BI23" s="212"/>
      <c r="BJ23" s="210" t="e">
        <f t="shared" si="20"/>
        <v>#N/A</v>
      </c>
      <c r="BK23" s="213">
        <f aca="true" t="shared" si="25" ref="BK23:BK35">BH23</f>
        <v>0</v>
      </c>
      <c r="BL23" s="214" t="e">
        <f t="shared" si="21"/>
        <v>#DIV/0!</v>
      </c>
      <c r="BM23" s="214" t="e">
        <f t="shared" si="22"/>
        <v>#N/A</v>
      </c>
      <c r="BN23" s="215" t="e">
        <f t="shared" si="23"/>
        <v>#N/A</v>
      </c>
      <c r="BO23" s="216"/>
      <c r="BP23" s="191">
        <v>0.6</v>
      </c>
    </row>
    <row r="24" spans="1:68" ht="15">
      <c r="A24" s="33">
        <v>10</v>
      </c>
      <c r="B24" s="187" t="s">
        <v>63</v>
      </c>
      <c r="C24" s="188">
        <f t="shared" si="0"/>
        <v>85.98165845969216</v>
      </c>
      <c r="D24" s="227"/>
      <c r="E24" s="223"/>
      <c r="G24" s="191" t="e">
        <f t="shared" si="1"/>
        <v>#N/A</v>
      </c>
      <c r="H24" s="24" t="e">
        <f t="shared" si="24"/>
        <v>#N/A</v>
      </c>
      <c r="I24" s="218" t="e">
        <f t="shared" si="2"/>
        <v>#N/A</v>
      </c>
      <c r="J24" s="222" t="e">
        <f t="shared" si="3"/>
        <v>#NUM!</v>
      </c>
      <c r="K24" s="24"/>
      <c r="L24" s="193" t="e">
        <f t="shared" si="4"/>
        <v>#N/A</v>
      </c>
      <c r="M24" s="194"/>
      <c r="N24" s="195" t="e">
        <f t="shared" si="5"/>
        <v>#N/A</v>
      </c>
      <c r="O24" s="196">
        <f t="shared" si="6"/>
        <v>0</v>
      </c>
      <c r="P24" s="190"/>
      <c r="R24" s="191" t="e">
        <f t="shared" si="7"/>
        <v>#N/A</v>
      </c>
      <c r="S24" s="24" t="e">
        <f t="shared" si="8"/>
        <v>#N/A</v>
      </c>
      <c r="T24" s="25" t="e">
        <f t="shared" si="9"/>
        <v>#N/A</v>
      </c>
      <c r="U24" s="197" t="e">
        <f t="shared" si="10"/>
        <v>#N/A</v>
      </c>
      <c r="V24" s="198" t="e">
        <f t="shared" si="11"/>
        <v>#N/A</v>
      </c>
      <c r="W24" s="199">
        <f t="shared" si="12"/>
        <v>0</v>
      </c>
      <c r="X24" s="198" t="e">
        <f t="shared" si="13"/>
        <v>#N/A</v>
      </c>
      <c r="Y24" s="196">
        <f t="shared" si="14"/>
        <v>0</v>
      </c>
      <c r="AN24" s="200">
        <v>0.24</v>
      </c>
      <c r="AO24" s="37">
        <v>0.25</v>
      </c>
      <c r="AP24" s="37">
        <v>4.9</v>
      </c>
      <c r="AQ24" s="37"/>
      <c r="AR24" s="37"/>
      <c r="AS24" s="37">
        <v>3.8</v>
      </c>
      <c r="AT24" s="43"/>
      <c r="AV24" s="224">
        <v>6</v>
      </c>
      <c r="AW24" s="224"/>
      <c r="AX24" s="225" t="s">
        <v>64</v>
      </c>
      <c r="AY24" s="226">
        <v>9051</v>
      </c>
      <c r="AZ24" s="87"/>
      <c r="BA24" s="204">
        <f t="shared" si="15"/>
        <v>10</v>
      </c>
      <c r="BB24" s="205" t="str">
        <f t="shared" si="16"/>
        <v>FF #</v>
      </c>
      <c r="BC24" s="206">
        <f t="shared" si="17"/>
        <v>85.98165845969216</v>
      </c>
      <c r="BD24" s="207">
        <f t="shared" si="18"/>
        <v>0</v>
      </c>
      <c r="BE24" s="208"/>
      <c r="BF24" s="209"/>
      <c r="BG24" s="210" t="e">
        <f t="shared" si="19"/>
        <v>#N/A</v>
      </c>
      <c r="BH24" s="211"/>
      <c r="BI24" s="212"/>
      <c r="BJ24" s="210" t="e">
        <f t="shared" si="20"/>
        <v>#N/A</v>
      </c>
      <c r="BK24" s="213">
        <f t="shared" si="25"/>
        <v>0</v>
      </c>
      <c r="BL24" s="214" t="e">
        <f t="shared" si="21"/>
        <v>#DIV/0!</v>
      </c>
      <c r="BM24" s="214" t="e">
        <f t="shared" si="22"/>
        <v>#N/A</v>
      </c>
      <c r="BN24" s="215" t="e">
        <f t="shared" si="23"/>
        <v>#N/A</v>
      </c>
      <c r="BO24" s="216"/>
      <c r="BP24" s="191">
        <v>0.56</v>
      </c>
    </row>
    <row r="25" spans="1:68" ht="15">
      <c r="A25" s="33">
        <v>11</v>
      </c>
      <c r="B25" s="187" t="s">
        <v>65</v>
      </c>
      <c r="C25" s="188">
        <f t="shared" si="0"/>
        <v>91.09439392984953</v>
      </c>
      <c r="D25" s="227"/>
      <c r="E25" s="223"/>
      <c r="G25" s="191" t="e">
        <f t="shared" si="1"/>
        <v>#N/A</v>
      </c>
      <c r="H25" s="24" t="e">
        <f t="shared" si="24"/>
        <v>#N/A</v>
      </c>
      <c r="I25" s="218" t="e">
        <f t="shared" si="2"/>
        <v>#N/A</v>
      </c>
      <c r="J25" s="222" t="e">
        <f t="shared" si="3"/>
        <v>#NUM!</v>
      </c>
      <c r="K25" s="24"/>
      <c r="L25" s="193" t="e">
        <f t="shared" si="4"/>
        <v>#N/A</v>
      </c>
      <c r="M25" s="194"/>
      <c r="N25" s="195" t="e">
        <f t="shared" si="5"/>
        <v>#N/A</v>
      </c>
      <c r="O25" s="196">
        <f t="shared" si="6"/>
        <v>0</v>
      </c>
      <c r="P25" s="228"/>
      <c r="Q25" s="229"/>
      <c r="R25" s="191" t="e">
        <f t="shared" si="7"/>
        <v>#N/A</v>
      </c>
      <c r="S25" s="24" t="e">
        <f t="shared" si="8"/>
        <v>#N/A</v>
      </c>
      <c r="T25" s="25" t="e">
        <f t="shared" si="9"/>
        <v>#N/A</v>
      </c>
      <c r="U25" s="197" t="e">
        <f t="shared" si="10"/>
        <v>#N/A</v>
      </c>
      <c r="V25" s="198" t="e">
        <f t="shared" si="11"/>
        <v>#N/A</v>
      </c>
      <c r="W25" s="199">
        <f t="shared" si="12"/>
        <v>0</v>
      </c>
      <c r="X25" s="198" t="e">
        <f t="shared" si="13"/>
        <v>#N/A</v>
      </c>
      <c r="Y25" s="196">
        <f t="shared" si="14"/>
        <v>0</v>
      </c>
      <c r="AN25" s="200">
        <v>0.26</v>
      </c>
      <c r="AO25" s="37">
        <v>0.27</v>
      </c>
      <c r="AP25" s="37">
        <v>5.5</v>
      </c>
      <c r="AQ25" s="37"/>
      <c r="AR25" s="37"/>
      <c r="AS25" s="37">
        <v>4.4</v>
      </c>
      <c r="AT25" s="43"/>
      <c r="AV25" s="224">
        <v>7</v>
      </c>
      <c r="AW25" s="224"/>
      <c r="AX25" s="225" t="s">
        <v>66</v>
      </c>
      <c r="AY25" s="226">
        <v>7300</v>
      </c>
      <c r="AZ25" s="87"/>
      <c r="BA25" s="204">
        <f t="shared" si="15"/>
        <v>11</v>
      </c>
      <c r="BB25" s="205" t="str">
        <f t="shared" si="16"/>
        <v>GG</v>
      </c>
      <c r="BC25" s="206">
        <f t="shared" si="17"/>
        <v>91.09439392984953</v>
      </c>
      <c r="BD25" s="207">
        <f t="shared" si="18"/>
        <v>0</v>
      </c>
      <c r="BE25" s="208"/>
      <c r="BF25" s="209"/>
      <c r="BG25" s="210" t="e">
        <f t="shared" si="19"/>
        <v>#N/A</v>
      </c>
      <c r="BH25" s="211"/>
      <c r="BI25" s="212"/>
      <c r="BJ25" s="210" t="e">
        <f t="shared" si="20"/>
        <v>#N/A</v>
      </c>
      <c r="BK25" s="213">
        <f t="shared" si="25"/>
        <v>0</v>
      </c>
      <c r="BL25" s="214" t="e">
        <f t="shared" si="21"/>
        <v>#DIV/0!</v>
      </c>
      <c r="BM25" s="214" t="e">
        <f t="shared" si="22"/>
        <v>#N/A</v>
      </c>
      <c r="BN25" s="215" t="e">
        <f t="shared" si="23"/>
        <v>#N/A</v>
      </c>
      <c r="BO25" s="216"/>
      <c r="BP25" s="191">
        <v>0.52</v>
      </c>
    </row>
    <row r="26" spans="1:68" ht="15">
      <c r="A26" s="33">
        <v>12</v>
      </c>
      <c r="B26" s="187" t="s">
        <v>67</v>
      </c>
      <c r="C26" s="188">
        <f t="shared" si="0"/>
        <v>96.511148471703</v>
      </c>
      <c r="D26" s="227"/>
      <c r="E26" s="223"/>
      <c r="G26" s="191" t="e">
        <f t="shared" si="1"/>
        <v>#N/A</v>
      </c>
      <c r="H26" s="24" t="e">
        <f t="shared" si="24"/>
        <v>#N/A</v>
      </c>
      <c r="I26" s="218" t="e">
        <f t="shared" si="2"/>
        <v>#N/A</v>
      </c>
      <c r="J26" s="222" t="e">
        <f t="shared" si="3"/>
        <v>#NUM!</v>
      </c>
      <c r="K26" s="24"/>
      <c r="L26" s="193" t="e">
        <f t="shared" si="4"/>
        <v>#N/A</v>
      </c>
      <c r="M26" s="194"/>
      <c r="N26" s="195" t="e">
        <f t="shared" si="5"/>
        <v>#N/A</v>
      </c>
      <c r="O26" s="196">
        <f t="shared" si="6"/>
        <v>0</v>
      </c>
      <c r="P26" s="228"/>
      <c r="Q26" s="229"/>
      <c r="R26" s="191" t="e">
        <f t="shared" si="7"/>
        <v>#N/A</v>
      </c>
      <c r="S26" s="24" t="e">
        <f t="shared" si="8"/>
        <v>#N/A</v>
      </c>
      <c r="T26" s="25" t="e">
        <f t="shared" si="9"/>
        <v>#N/A</v>
      </c>
      <c r="U26" s="197" t="e">
        <f t="shared" si="10"/>
        <v>#N/A</v>
      </c>
      <c r="V26" s="198" t="e">
        <f t="shared" si="11"/>
        <v>#N/A</v>
      </c>
      <c r="W26" s="199">
        <f t="shared" si="12"/>
        <v>0</v>
      </c>
      <c r="X26" s="198" t="e">
        <f t="shared" si="13"/>
        <v>#N/A</v>
      </c>
      <c r="Y26" s="196">
        <f t="shared" si="14"/>
        <v>0</v>
      </c>
      <c r="AN26" s="200">
        <v>0.285</v>
      </c>
      <c r="AO26" s="37">
        <v>0.3</v>
      </c>
      <c r="AP26" s="37">
        <v>6.4</v>
      </c>
      <c r="AQ26" s="37">
        <v>8.1</v>
      </c>
      <c r="AR26" s="37"/>
      <c r="AS26" s="37">
        <v>5.3</v>
      </c>
      <c r="AT26" s="43"/>
      <c r="AV26" s="224">
        <v>8</v>
      </c>
      <c r="AW26" s="224"/>
      <c r="AX26" s="225" t="s">
        <v>68</v>
      </c>
      <c r="AY26" s="226">
        <v>10500</v>
      </c>
      <c r="AZ26" s="87"/>
      <c r="BA26" s="204">
        <f t="shared" si="15"/>
        <v>12</v>
      </c>
      <c r="BB26" s="205" t="str">
        <f t="shared" si="16"/>
        <v>GG #</v>
      </c>
      <c r="BC26" s="206">
        <f t="shared" si="17"/>
        <v>96.511148471703</v>
      </c>
      <c r="BD26" s="207">
        <f t="shared" si="18"/>
        <v>0</v>
      </c>
      <c r="BE26" s="208"/>
      <c r="BF26" s="209"/>
      <c r="BG26" s="210" t="e">
        <f t="shared" si="19"/>
        <v>#N/A</v>
      </c>
      <c r="BH26" s="211"/>
      <c r="BI26" s="212"/>
      <c r="BJ26" s="210" t="e">
        <f t="shared" si="20"/>
        <v>#N/A</v>
      </c>
      <c r="BK26" s="213">
        <f t="shared" si="25"/>
        <v>0</v>
      </c>
      <c r="BL26" s="214" t="e">
        <f t="shared" si="21"/>
        <v>#DIV/0!</v>
      </c>
      <c r="BM26" s="214" t="e">
        <f t="shared" si="22"/>
        <v>#N/A</v>
      </c>
      <c r="BN26" s="215" t="e">
        <f t="shared" si="23"/>
        <v>#N/A</v>
      </c>
      <c r="BO26" s="216"/>
      <c r="BP26" s="191">
        <v>0.48</v>
      </c>
    </row>
    <row r="27" spans="1:68" ht="15">
      <c r="A27" s="33">
        <v>13</v>
      </c>
      <c r="B27" s="187" t="s">
        <v>69</v>
      </c>
      <c r="C27" s="188">
        <f t="shared" si="0"/>
        <v>102.24999999999983</v>
      </c>
      <c r="D27" s="227"/>
      <c r="E27" s="223"/>
      <c r="G27" s="191" t="e">
        <f t="shared" si="1"/>
        <v>#N/A</v>
      </c>
      <c r="H27" s="24" t="e">
        <f t="shared" si="24"/>
        <v>#N/A</v>
      </c>
      <c r="I27" s="218" t="e">
        <f t="shared" si="2"/>
        <v>#N/A</v>
      </c>
      <c r="J27" s="222" t="e">
        <f t="shared" si="3"/>
        <v>#NUM!</v>
      </c>
      <c r="K27" s="24"/>
      <c r="L27" s="193" t="e">
        <f t="shared" si="4"/>
        <v>#N/A</v>
      </c>
      <c r="M27" s="194"/>
      <c r="N27" s="195" t="e">
        <f t="shared" si="5"/>
        <v>#N/A</v>
      </c>
      <c r="O27" s="196">
        <f t="shared" si="6"/>
        <v>0</v>
      </c>
      <c r="P27" s="228"/>
      <c r="Q27" s="229"/>
      <c r="R27" s="191" t="e">
        <f t="shared" si="7"/>
        <v>#N/A</v>
      </c>
      <c r="S27" s="24" t="e">
        <f t="shared" si="8"/>
        <v>#N/A</v>
      </c>
      <c r="T27" s="25" t="e">
        <f t="shared" si="9"/>
        <v>#N/A</v>
      </c>
      <c r="U27" s="197" t="e">
        <f t="shared" si="10"/>
        <v>#N/A</v>
      </c>
      <c r="V27" s="198" t="e">
        <f t="shared" si="11"/>
        <v>#N/A</v>
      </c>
      <c r="W27" s="199">
        <f t="shared" si="12"/>
        <v>0</v>
      </c>
      <c r="X27" s="198" t="e">
        <f t="shared" si="13"/>
        <v>#N/A</v>
      </c>
      <c r="Y27" s="196">
        <f t="shared" si="14"/>
        <v>0</v>
      </c>
      <c r="AN27" s="200">
        <v>0.315</v>
      </c>
      <c r="AO27" s="37">
        <v>0.33</v>
      </c>
      <c r="AP27" s="37">
        <v>7.4</v>
      </c>
      <c r="AQ27" s="37">
        <v>9.3</v>
      </c>
      <c r="AR27" s="37"/>
      <c r="AS27" s="37">
        <v>6.4</v>
      </c>
      <c r="AT27" s="43"/>
      <c r="AV27" s="224">
        <v>9</v>
      </c>
      <c r="AW27" s="224"/>
      <c r="AX27" s="225" t="s">
        <v>70</v>
      </c>
      <c r="AY27" s="226">
        <v>19300</v>
      </c>
      <c r="AZ27" s="87"/>
      <c r="BA27" s="204">
        <f t="shared" si="15"/>
        <v>13</v>
      </c>
      <c r="BB27" s="205" t="str">
        <f t="shared" si="16"/>
        <v>AA</v>
      </c>
      <c r="BC27" s="206">
        <f t="shared" si="17"/>
        <v>102.24999999999983</v>
      </c>
      <c r="BD27" s="207">
        <f t="shared" si="18"/>
        <v>0</v>
      </c>
      <c r="BE27" s="208"/>
      <c r="BF27" s="209"/>
      <c r="BG27" s="210" t="e">
        <f t="shared" si="19"/>
        <v>#N/A</v>
      </c>
      <c r="BH27" s="211"/>
      <c r="BI27" s="212"/>
      <c r="BJ27" s="210" t="e">
        <f t="shared" si="20"/>
        <v>#N/A</v>
      </c>
      <c r="BK27" s="213">
        <f t="shared" si="25"/>
        <v>0</v>
      </c>
      <c r="BL27" s="214" t="e">
        <f t="shared" si="21"/>
        <v>#DIV/0!</v>
      </c>
      <c r="BM27" s="214" t="e">
        <f t="shared" si="22"/>
        <v>#N/A</v>
      </c>
      <c r="BN27" s="215" t="e">
        <f t="shared" si="23"/>
        <v>#N/A</v>
      </c>
      <c r="BO27" s="216"/>
      <c r="BP27" s="191">
        <v>0.44</v>
      </c>
    </row>
    <row r="28" spans="1:69" ht="15">
      <c r="A28" s="33">
        <v>14</v>
      </c>
      <c r="B28" s="187" t="s">
        <v>71</v>
      </c>
      <c r="C28" s="188">
        <f t="shared" si="0"/>
        <v>108.33010139823776</v>
      </c>
      <c r="D28" s="227"/>
      <c r="E28" s="223"/>
      <c r="G28" s="191" t="e">
        <f t="shared" si="1"/>
        <v>#N/A</v>
      </c>
      <c r="H28" s="24" t="e">
        <f t="shared" si="24"/>
        <v>#N/A</v>
      </c>
      <c r="I28" s="218" t="e">
        <f t="shared" si="2"/>
        <v>#N/A</v>
      </c>
      <c r="J28" s="222" t="e">
        <f t="shared" si="3"/>
        <v>#NUM!</v>
      </c>
      <c r="K28" s="24"/>
      <c r="L28" s="193" t="e">
        <f t="shared" si="4"/>
        <v>#N/A</v>
      </c>
      <c r="M28" s="194"/>
      <c r="N28" s="195" t="e">
        <f t="shared" si="5"/>
        <v>#N/A</v>
      </c>
      <c r="O28" s="196">
        <f t="shared" si="6"/>
        <v>0</v>
      </c>
      <c r="P28" s="228"/>
      <c r="Q28" s="229"/>
      <c r="R28" s="191" t="e">
        <f t="shared" si="7"/>
        <v>#N/A</v>
      </c>
      <c r="S28" s="24" t="e">
        <f t="shared" si="8"/>
        <v>#N/A</v>
      </c>
      <c r="T28" s="25" t="e">
        <f t="shared" si="9"/>
        <v>#N/A</v>
      </c>
      <c r="U28" s="197" t="e">
        <f t="shared" si="10"/>
        <v>#N/A</v>
      </c>
      <c r="V28" s="198" t="e">
        <f t="shared" si="11"/>
        <v>#N/A</v>
      </c>
      <c r="W28" s="199">
        <f t="shared" si="12"/>
        <v>0</v>
      </c>
      <c r="X28" s="198" t="e">
        <f t="shared" si="13"/>
        <v>#N/A</v>
      </c>
      <c r="Y28" s="196">
        <f t="shared" si="14"/>
        <v>0</v>
      </c>
      <c r="AN28" s="200">
        <v>0.345</v>
      </c>
      <c r="AO28" s="37">
        <v>0.36</v>
      </c>
      <c r="AP28" s="37"/>
      <c r="AQ28" s="37">
        <v>10.4</v>
      </c>
      <c r="AR28" s="37"/>
      <c r="AS28" s="37">
        <v>7.5</v>
      </c>
      <c r="AT28" s="43">
        <v>5.2</v>
      </c>
      <c r="AV28" s="230">
        <v>10</v>
      </c>
      <c r="AW28" s="230"/>
      <c r="AX28" s="231" t="s">
        <v>72</v>
      </c>
      <c r="AY28" s="232">
        <v>21450</v>
      </c>
      <c r="AZ28" s="87"/>
      <c r="BA28" s="204">
        <f t="shared" si="15"/>
        <v>14</v>
      </c>
      <c r="BB28" s="205" t="str">
        <f t="shared" si="16"/>
        <v>AA #</v>
      </c>
      <c r="BC28" s="206">
        <f t="shared" si="17"/>
        <v>108.33010139823776</v>
      </c>
      <c r="BD28" s="207">
        <f t="shared" si="18"/>
        <v>0</v>
      </c>
      <c r="BE28" s="208"/>
      <c r="BF28" s="209"/>
      <c r="BG28" s="210" t="e">
        <f t="shared" si="19"/>
        <v>#N/A</v>
      </c>
      <c r="BH28" s="211"/>
      <c r="BI28" s="212"/>
      <c r="BJ28" s="210" t="e">
        <f t="shared" si="20"/>
        <v>#N/A</v>
      </c>
      <c r="BK28" s="213">
        <f t="shared" si="25"/>
        <v>0</v>
      </c>
      <c r="BL28" s="214" t="e">
        <f t="shared" si="21"/>
        <v>#DIV/0!</v>
      </c>
      <c r="BM28" s="214" t="e">
        <f t="shared" si="22"/>
        <v>#N/A</v>
      </c>
      <c r="BN28" s="215" t="e">
        <f t="shared" si="23"/>
        <v>#N/A</v>
      </c>
      <c r="BO28" s="216"/>
      <c r="BP28" s="191">
        <v>0.4</v>
      </c>
      <c r="BQ28" s="36"/>
    </row>
    <row r="29" spans="1:69" ht="15">
      <c r="A29" s="233">
        <v>15</v>
      </c>
      <c r="B29" s="234" t="s">
        <v>73</v>
      </c>
      <c r="C29" s="235">
        <f t="shared" si="0"/>
        <v>114.7717444396332</v>
      </c>
      <c r="D29" s="227"/>
      <c r="E29" s="223"/>
      <c r="G29" s="191" t="e">
        <f t="shared" si="1"/>
        <v>#N/A</v>
      </c>
      <c r="H29" s="24" t="e">
        <f t="shared" si="24"/>
        <v>#N/A</v>
      </c>
      <c r="I29" s="218" t="e">
        <f t="shared" si="2"/>
        <v>#N/A</v>
      </c>
      <c r="J29" s="222" t="e">
        <f t="shared" si="3"/>
        <v>#NUM!</v>
      </c>
      <c r="K29" s="24"/>
      <c r="L29" s="193" t="e">
        <f t="shared" si="4"/>
        <v>#N/A</v>
      </c>
      <c r="M29" s="194"/>
      <c r="N29" s="195" t="e">
        <f t="shared" si="5"/>
        <v>#N/A</v>
      </c>
      <c r="O29" s="196">
        <f t="shared" si="6"/>
        <v>0</v>
      </c>
      <c r="P29" s="228"/>
      <c r="Q29" s="229"/>
      <c r="R29" s="191" t="e">
        <f t="shared" si="7"/>
        <v>#N/A</v>
      </c>
      <c r="S29" s="24" t="e">
        <f t="shared" si="8"/>
        <v>#N/A</v>
      </c>
      <c r="T29" s="25" t="e">
        <f t="shared" si="9"/>
        <v>#N/A</v>
      </c>
      <c r="U29" s="197" t="e">
        <f t="shared" si="10"/>
        <v>#N/A</v>
      </c>
      <c r="V29" s="198" t="e">
        <f t="shared" si="11"/>
        <v>#N/A</v>
      </c>
      <c r="W29" s="199">
        <f t="shared" si="12"/>
        <v>0</v>
      </c>
      <c r="X29" s="198" t="e">
        <f t="shared" si="13"/>
        <v>#N/A</v>
      </c>
      <c r="Y29" s="196">
        <f t="shared" si="14"/>
        <v>0</v>
      </c>
      <c r="AN29" s="200">
        <v>0.38</v>
      </c>
      <c r="AO29" s="37">
        <v>0.4</v>
      </c>
      <c r="AP29" s="37"/>
      <c r="AQ29" s="37">
        <v>12</v>
      </c>
      <c r="AR29" s="37">
        <v>15.7</v>
      </c>
      <c r="AS29" s="37">
        <v>9.1</v>
      </c>
      <c r="AT29" s="43">
        <v>5.9</v>
      </c>
      <c r="AV29" s="219">
        <v>11</v>
      </c>
      <c r="AW29" s="219">
        <v>0.5</v>
      </c>
      <c r="AX29" s="220" t="s">
        <v>74</v>
      </c>
      <c r="AY29" s="43">
        <v>7849</v>
      </c>
      <c r="BA29" s="204">
        <f t="shared" si="15"/>
        <v>15</v>
      </c>
      <c r="BB29" s="205" t="str">
        <f t="shared" si="16"/>
        <v>BB</v>
      </c>
      <c r="BC29" s="206">
        <f t="shared" si="17"/>
        <v>114.7717444396332</v>
      </c>
      <c r="BD29" s="207">
        <f t="shared" si="18"/>
        <v>0</v>
      </c>
      <c r="BE29" s="208"/>
      <c r="BF29" s="209"/>
      <c r="BG29" s="210" t="e">
        <f t="shared" si="19"/>
        <v>#N/A</v>
      </c>
      <c r="BH29" s="211"/>
      <c r="BI29" s="212"/>
      <c r="BJ29" s="210" t="e">
        <f t="shared" si="20"/>
        <v>#N/A</v>
      </c>
      <c r="BK29" s="213">
        <f t="shared" si="25"/>
        <v>0</v>
      </c>
      <c r="BL29" s="214" t="e">
        <f t="shared" si="21"/>
        <v>#DIV/0!</v>
      </c>
      <c r="BM29" s="214" t="e">
        <f t="shared" si="22"/>
        <v>#N/A</v>
      </c>
      <c r="BN29" s="215" t="e">
        <f t="shared" si="23"/>
        <v>#N/A</v>
      </c>
      <c r="BO29" s="216"/>
      <c r="BP29" s="191">
        <v>0.36</v>
      </c>
      <c r="BQ29" s="36"/>
    </row>
    <row r="30" spans="1:69" ht="15">
      <c r="A30" s="33">
        <v>16</v>
      </c>
      <c r="B30" s="187" t="s">
        <v>75</v>
      </c>
      <c r="C30" s="188">
        <f t="shared" si="0"/>
        <v>121.59642750902803</v>
      </c>
      <c r="D30" s="227"/>
      <c r="E30" s="223"/>
      <c r="G30" s="191" t="e">
        <f t="shared" si="1"/>
        <v>#N/A</v>
      </c>
      <c r="H30" s="24" t="e">
        <f t="shared" si="24"/>
        <v>#N/A</v>
      </c>
      <c r="I30" s="218" t="e">
        <f t="shared" si="2"/>
        <v>#N/A</v>
      </c>
      <c r="J30" s="222" t="e">
        <f t="shared" si="3"/>
        <v>#NUM!</v>
      </c>
      <c r="K30" s="24" t="e">
        <f>LOG(8*D66)</f>
        <v>#NUM!</v>
      </c>
      <c r="L30" s="193" t="e">
        <f t="shared" si="4"/>
        <v>#N/A</v>
      </c>
      <c r="M30" s="194"/>
      <c r="N30" s="195" t="e">
        <f t="shared" si="5"/>
        <v>#N/A</v>
      </c>
      <c r="O30" s="196">
        <f t="shared" si="6"/>
        <v>0</v>
      </c>
      <c r="P30" s="36"/>
      <c r="Q30" s="229"/>
      <c r="R30" s="191" t="e">
        <f t="shared" si="7"/>
        <v>#N/A</v>
      </c>
      <c r="S30" s="24" t="e">
        <f t="shared" si="8"/>
        <v>#N/A</v>
      </c>
      <c r="T30" s="25" t="e">
        <f t="shared" si="9"/>
        <v>#N/A</v>
      </c>
      <c r="U30" s="197" t="e">
        <f t="shared" si="10"/>
        <v>#N/A</v>
      </c>
      <c r="V30" s="198" t="e">
        <f t="shared" si="11"/>
        <v>#N/A</v>
      </c>
      <c r="W30" s="199">
        <f t="shared" si="12"/>
        <v>0</v>
      </c>
      <c r="X30" s="198" t="e">
        <f t="shared" si="13"/>
        <v>#N/A</v>
      </c>
      <c r="Y30" s="196">
        <f t="shared" si="14"/>
        <v>0</v>
      </c>
      <c r="AN30" s="200">
        <v>0.42</v>
      </c>
      <c r="AO30" s="37">
        <v>0.44</v>
      </c>
      <c r="AP30" s="37"/>
      <c r="AQ30" s="37">
        <v>13.6</v>
      </c>
      <c r="AR30" s="37">
        <v>18.4</v>
      </c>
      <c r="AS30" s="37">
        <v>10.8</v>
      </c>
      <c r="AT30" s="43">
        <v>7.5</v>
      </c>
      <c r="AV30" s="219">
        <v>12</v>
      </c>
      <c r="AW30" s="219">
        <v>1</v>
      </c>
      <c r="AX30" s="220" t="s">
        <v>76</v>
      </c>
      <c r="AY30" s="43">
        <v>8646</v>
      </c>
      <c r="BA30" s="204">
        <f t="shared" si="15"/>
        <v>16</v>
      </c>
      <c r="BB30" s="205" t="str">
        <f t="shared" si="16"/>
        <v>C</v>
      </c>
      <c r="BC30" s="206">
        <f t="shared" si="17"/>
        <v>121.59642750902803</v>
      </c>
      <c r="BD30" s="207">
        <f t="shared" si="18"/>
        <v>0</v>
      </c>
      <c r="BE30" s="208"/>
      <c r="BF30" s="209"/>
      <c r="BG30" s="210" t="e">
        <f t="shared" si="19"/>
        <v>#N/A</v>
      </c>
      <c r="BH30" s="211"/>
      <c r="BI30" s="212"/>
      <c r="BJ30" s="210" t="e">
        <f t="shared" si="20"/>
        <v>#N/A</v>
      </c>
      <c r="BK30" s="213">
        <f t="shared" si="25"/>
        <v>0</v>
      </c>
      <c r="BL30" s="214" t="e">
        <f t="shared" si="21"/>
        <v>#DIV/0!</v>
      </c>
      <c r="BM30" s="214" t="e">
        <f t="shared" si="22"/>
        <v>#N/A</v>
      </c>
      <c r="BN30" s="215" t="e">
        <f t="shared" si="23"/>
        <v>#N/A</v>
      </c>
      <c r="BO30" s="216"/>
      <c r="BP30" s="191">
        <v>0.3</v>
      </c>
      <c r="BQ30" s="36"/>
    </row>
    <row r="31" spans="1:69" ht="15">
      <c r="A31" s="33">
        <v>17</v>
      </c>
      <c r="B31" s="187" t="s">
        <v>77</v>
      </c>
      <c r="C31" s="188">
        <f t="shared" si="0"/>
        <v>128.82692735175058</v>
      </c>
      <c r="D31" s="227"/>
      <c r="E31" s="223"/>
      <c r="G31" s="191" t="e">
        <f t="shared" si="1"/>
        <v>#N/A</v>
      </c>
      <c r="H31" s="24" t="e">
        <f t="shared" si="24"/>
        <v>#N/A</v>
      </c>
      <c r="I31" s="218" t="e">
        <f t="shared" si="2"/>
        <v>#N/A</v>
      </c>
      <c r="J31" s="222" t="e">
        <f t="shared" si="3"/>
        <v>#NUM!</v>
      </c>
      <c r="K31" s="24"/>
      <c r="L31" s="193" t="e">
        <f t="shared" si="4"/>
        <v>#N/A</v>
      </c>
      <c r="M31" s="194"/>
      <c r="N31" s="195" t="e">
        <f t="shared" si="5"/>
        <v>#N/A</v>
      </c>
      <c r="O31" s="196">
        <f t="shared" si="6"/>
        <v>0</v>
      </c>
      <c r="P31" s="36"/>
      <c r="Q31" s="229"/>
      <c r="R31" s="191" t="e">
        <f t="shared" si="7"/>
        <v>#N/A</v>
      </c>
      <c r="S31" s="24" t="e">
        <f t="shared" si="8"/>
        <v>#N/A</v>
      </c>
      <c r="T31" s="25" t="e">
        <f t="shared" si="9"/>
        <v>#N/A</v>
      </c>
      <c r="U31" s="197" t="e">
        <f t="shared" si="10"/>
        <v>#N/A</v>
      </c>
      <c r="V31" s="198" t="e">
        <f t="shared" si="11"/>
        <v>#N/A</v>
      </c>
      <c r="W31" s="199">
        <f t="shared" si="12"/>
        <v>0</v>
      </c>
      <c r="X31" s="198" t="e">
        <f t="shared" si="13"/>
        <v>#N/A</v>
      </c>
      <c r="Y31" s="196">
        <f t="shared" si="14"/>
        <v>0</v>
      </c>
      <c r="AA31" s="246"/>
      <c r="AN31" s="200">
        <v>0.46</v>
      </c>
      <c r="AO31" s="37">
        <v>0.48</v>
      </c>
      <c r="AP31" s="37"/>
      <c r="AQ31" s="37">
        <v>15.4</v>
      </c>
      <c r="AR31" s="37">
        <v>20.8</v>
      </c>
      <c r="AS31" s="37">
        <v>12.4</v>
      </c>
      <c r="AT31" s="43">
        <v>8.1</v>
      </c>
      <c r="AV31" s="219">
        <v>13</v>
      </c>
      <c r="AW31" s="219">
        <v>1.5</v>
      </c>
      <c r="AX31" s="220" t="s">
        <v>78</v>
      </c>
      <c r="AY31" s="43">
        <v>8944</v>
      </c>
      <c r="BA31" s="204">
        <f t="shared" si="15"/>
        <v>17</v>
      </c>
      <c r="BB31" s="205" t="str">
        <f t="shared" si="16"/>
        <v>C #</v>
      </c>
      <c r="BC31" s="206">
        <f t="shared" si="17"/>
        <v>128.82692735175058</v>
      </c>
      <c r="BD31" s="207">
        <f t="shared" si="18"/>
        <v>0</v>
      </c>
      <c r="BE31" s="208"/>
      <c r="BF31" s="209"/>
      <c r="BG31" s="210" t="e">
        <f t="shared" si="19"/>
        <v>#N/A</v>
      </c>
      <c r="BH31" s="211"/>
      <c r="BI31" s="212"/>
      <c r="BJ31" s="210" t="e">
        <f t="shared" si="20"/>
        <v>#N/A</v>
      </c>
      <c r="BK31" s="213">
        <f t="shared" si="25"/>
        <v>0</v>
      </c>
      <c r="BL31" s="214" t="e">
        <f t="shared" si="21"/>
        <v>#DIV/0!</v>
      </c>
      <c r="BM31" s="214" t="e">
        <f t="shared" si="22"/>
        <v>#N/A</v>
      </c>
      <c r="BN31" s="215" t="e">
        <f t="shared" si="23"/>
        <v>#N/A</v>
      </c>
      <c r="BO31" s="216"/>
      <c r="BP31" s="191">
        <v>0.27</v>
      </c>
      <c r="BQ31" s="36"/>
    </row>
    <row r="32" spans="1:69" ht="15">
      <c r="A32" s="33">
        <v>18</v>
      </c>
      <c r="B32" s="187" t="s">
        <v>79</v>
      </c>
      <c r="C32" s="188">
        <f t="shared" si="0"/>
        <v>136.4873750888858</v>
      </c>
      <c r="D32" s="227"/>
      <c r="E32" s="223"/>
      <c r="G32" s="191" t="e">
        <f t="shared" si="1"/>
        <v>#N/A</v>
      </c>
      <c r="H32" s="24" t="e">
        <f t="shared" si="24"/>
        <v>#N/A</v>
      </c>
      <c r="I32" s="218" t="e">
        <f t="shared" si="2"/>
        <v>#N/A</v>
      </c>
      <c r="J32" s="222" t="e">
        <f t="shared" si="3"/>
        <v>#NUM!</v>
      </c>
      <c r="K32" s="24"/>
      <c r="L32" s="193" t="e">
        <f t="shared" si="4"/>
        <v>#N/A</v>
      </c>
      <c r="M32" s="194"/>
      <c r="N32" s="195" t="e">
        <f t="shared" si="5"/>
        <v>#N/A</v>
      </c>
      <c r="O32" s="196">
        <f t="shared" si="6"/>
        <v>0</v>
      </c>
      <c r="P32" s="36"/>
      <c r="Q32" s="229"/>
      <c r="R32" s="191" t="e">
        <f t="shared" si="7"/>
        <v>#N/A</v>
      </c>
      <c r="S32" s="24" t="e">
        <f t="shared" si="8"/>
        <v>#N/A</v>
      </c>
      <c r="T32" s="25" t="e">
        <f t="shared" si="9"/>
        <v>#N/A</v>
      </c>
      <c r="U32" s="197" t="e">
        <f t="shared" si="10"/>
        <v>#N/A</v>
      </c>
      <c r="V32" s="198" t="e">
        <f t="shared" si="11"/>
        <v>#N/A</v>
      </c>
      <c r="W32" s="199">
        <f t="shared" si="12"/>
        <v>0</v>
      </c>
      <c r="X32" s="198" t="e">
        <f t="shared" si="13"/>
        <v>#N/A</v>
      </c>
      <c r="Y32" s="196">
        <f t="shared" si="14"/>
        <v>0</v>
      </c>
      <c r="AN32" s="200">
        <v>0.5</v>
      </c>
      <c r="AO32" s="37">
        <v>0.52</v>
      </c>
      <c r="AP32" s="37"/>
      <c r="AQ32" s="37">
        <v>17.1</v>
      </c>
      <c r="AR32" s="37">
        <v>23.5</v>
      </c>
      <c r="AS32" s="37">
        <v>14</v>
      </c>
      <c r="AT32" s="43">
        <v>9.6</v>
      </c>
      <c r="AV32" s="219">
        <v>14</v>
      </c>
      <c r="AW32" s="219">
        <v>0.5</v>
      </c>
      <c r="AX32" s="220" t="s">
        <v>80</v>
      </c>
      <c r="AY32" s="43">
        <v>7847</v>
      </c>
      <c r="BA32" s="204">
        <f t="shared" si="15"/>
        <v>18</v>
      </c>
      <c r="BB32" s="205" t="str">
        <f t="shared" si="16"/>
        <v>D</v>
      </c>
      <c r="BC32" s="206">
        <f t="shared" si="17"/>
        <v>136.4873750888858</v>
      </c>
      <c r="BD32" s="207">
        <f t="shared" si="18"/>
        <v>0</v>
      </c>
      <c r="BE32" s="208"/>
      <c r="BF32" s="209"/>
      <c r="BG32" s="210" t="e">
        <f t="shared" si="19"/>
        <v>#N/A</v>
      </c>
      <c r="BH32" s="211"/>
      <c r="BI32" s="212"/>
      <c r="BJ32" s="210" t="e">
        <f t="shared" si="20"/>
        <v>#N/A</v>
      </c>
      <c r="BK32" s="213">
        <f t="shared" si="25"/>
        <v>0</v>
      </c>
      <c r="BL32" s="214" t="e">
        <f t="shared" si="21"/>
        <v>#DIV/0!</v>
      </c>
      <c r="BM32" s="214" t="e">
        <f t="shared" si="22"/>
        <v>#N/A</v>
      </c>
      <c r="BN32" s="215" t="e">
        <f t="shared" si="23"/>
        <v>#N/A</v>
      </c>
      <c r="BO32" s="216"/>
      <c r="BP32" s="160">
        <v>0.25</v>
      </c>
      <c r="BQ32" s="36"/>
    </row>
    <row r="33" spans="1:69" ht="15">
      <c r="A33" s="33">
        <v>19</v>
      </c>
      <c r="B33" s="187" t="s">
        <v>81</v>
      </c>
      <c r="C33" s="188">
        <f t="shared" si="0"/>
        <v>144.60333675264877</v>
      </c>
      <c r="D33" s="227"/>
      <c r="E33" s="223"/>
      <c r="G33" s="191" t="e">
        <f t="shared" si="1"/>
        <v>#N/A</v>
      </c>
      <c r="H33" s="24" t="e">
        <f t="shared" si="24"/>
        <v>#N/A</v>
      </c>
      <c r="I33" s="218" t="e">
        <f t="shared" si="2"/>
        <v>#N/A</v>
      </c>
      <c r="J33" s="222" t="e">
        <f t="shared" si="3"/>
        <v>#NUM!</v>
      </c>
      <c r="K33" s="24"/>
      <c r="L33" s="193" t="e">
        <f t="shared" si="4"/>
        <v>#N/A</v>
      </c>
      <c r="M33" s="194"/>
      <c r="N33" s="195" t="e">
        <f t="shared" si="5"/>
        <v>#N/A</v>
      </c>
      <c r="O33" s="196">
        <f t="shared" si="6"/>
        <v>0</v>
      </c>
      <c r="P33" s="36"/>
      <c r="Q33" s="229"/>
      <c r="R33" s="191" t="e">
        <f t="shared" si="7"/>
        <v>#N/A</v>
      </c>
      <c r="S33" s="24" t="e">
        <f t="shared" si="8"/>
        <v>#N/A</v>
      </c>
      <c r="T33" s="25" t="e">
        <f t="shared" si="9"/>
        <v>#N/A</v>
      </c>
      <c r="U33" s="197" t="e">
        <f t="shared" si="10"/>
        <v>#N/A</v>
      </c>
      <c r="V33" s="198" t="e">
        <f t="shared" si="11"/>
        <v>#N/A</v>
      </c>
      <c r="W33" s="199">
        <f t="shared" si="12"/>
        <v>0</v>
      </c>
      <c r="X33" s="198" t="e">
        <f t="shared" si="13"/>
        <v>#N/A</v>
      </c>
      <c r="Y33" s="196">
        <f t="shared" si="14"/>
        <v>0</v>
      </c>
      <c r="AN33" s="200">
        <v>0.54</v>
      </c>
      <c r="AO33" s="37">
        <v>0.56</v>
      </c>
      <c r="AP33" s="37"/>
      <c r="AQ33" s="37">
        <v>18.7</v>
      </c>
      <c r="AR33" s="37">
        <v>26.4</v>
      </c>
      <c r="AS33" s="37">
        <v>16</v>
      </c>
      <c r="AT33" s="43">
        <v>10.9</v>
      </c>
      <c r="AV33" s="219">
        <v>15</v>
      </c>
      <c r="AW33" s="219">
        <v>1</v>
      </c>
      <c r="AX33" s="220" t="s">
        <v>82</v>
      </c>
      <c r="AY33" s="43">
        <v>8404</v>
      </c>
      <c r="BA33" s="204">
        <f t="shared" si="15"/>
        <v>19</v>
      </c>
      <c r="BB33" s="205" t="str">
        <f t="shared" si="16"/>
        <v>D #</v>
      </c>
      <c r="BC33" s="206">
        <f t="shared" si="17"/>
        <v>144.60333675264877</v>
      </c>
      <c r="BD33" s="207">
        <f t="shared" si="18"/>
        <v>0</v>
      </c>
      <c r="BE33" s="208"/>
      <c r="BF33" s="209"/>
      <c r="BG33" s="210" t="e">
        <f t="shared" si="19"/>
        <v>#N/A</v>
      </c>
      <c r="BH33" s="211"/>
      <c r="BI33" s="212"/>
      <c r="BJ33" s="210" t="e">
        <f t="shared" si="20"/>
        <v>#N/A</v>
      </c>
      <c r="BK33" s="213">
        <f t="shared" si="25"/>
        <v>0</v>
      </c>
      <c r="BL33" s="214" t="e">
        <f t="shared" si="21"/>
        <v>#DIV/0!</v>
      </c>
      <c r="BM33" s="214" t="e">
        <f t="shared" si="22"/>
        <v>#N/A</v>
      </c>
      <c r="BN33" s="215" t="e">
        <f t="shared" si="23"/>
        <v>#N/A</v>
      </c>
      <c r="BO33" s="216"/>
      <c r="BP33" s="36"/>
      <c r="BQ33" s="36"/>
    </row>
    <row r="34" spans="1:69" ht="15">
      <c r="A34" s="33">
        <v>20</v>
      </c>
      <c r="B34" s="187" t="s">
        <v>161</v>
      </c>
      <c r="C34" s="188">
        <f t="shared" si="0"/>
        <v>153.20189861064048</v>
      </c>
      <c r="D34" s="227"/>
      <c r="E34" s="223"/>
      <c r="G34" s="191" t="e">
        <f t="shared" si="1"/>
        <v>#N/A</v>
      </c>
      <c r="H34" s="24" t="e">
        <f t="shared" si="24"/>
        <v>#N/A</v>
      </c>
      <c r="I34" s="218" t="e">
        <f t="shared" si="2"/>
        <v>#N/A</v>
      </c>
      <c r="J34" s="222" t="e">
        <f t="shared" si="3"/>
        <v>#NUM!</v>
      </c>
      <c r="K34" s="24"/>
      <c r="L34" s="193" t="e">
        <f t="shared" si="4"/>
        <v>#N/A</v>
      </c>
      <c r="M34" s="194"/>
      <c r="N34" s="195" t="e">
        <f t="shared" si="5"/>
        <v>#N/A</v>
      </c>
      <c r="O34" s="196">
        <f t="shared" si="6"/>
        <v>0</v>
      </c>
      <c r="P34" s="36"/>
      <c r="Q34" s="229"/>
      <c r="R34" s="191" t="e">
        <f t="shared" si="7"/>
        <v>#N/A</v>
      </c>
      <c r="S34" s="24" t="e">
        <f t="shared" si="8"/>
        <v>#N/A</v>
      </c>
      <c r="T34" s="25" t="e">
        <f t="shared" si="9"/>
        <v>#N/A</v>
      </c>
      <c r="U34" s="197" t="e">
        <f t="shared" si="10"/>
        <v>#N/A</v>
      </c>
      <c r="V34" s="198" t="e">
        <f t="shared" si="11"/>
        <v>#N/A</v>
      </c>
      <c r="W34" s="199">
        <f t="shared" si="12"/>
        <v>0</v>
      </c>
      <c r="X34" s="198" t="e">
        <f t="shared" si="13"/>
        <v>#N/A</v>
      </c>
      <c r="Y34" s="196">
        <f t="shared" si="14"/>
        <v>0</v>
      </c>
      <c r="AN34" s="200">
        <v>0.58</v>
      </c>
      <c r="AO34" s="37">
        <v>0.6</v>
      </c>
      <c r="AP34" s="37"/>
      <c r="AQ34" s="37">
        <v>20.8</v>
      </c>
      <c r="AR34" s="37">
        <v>29</v>
      </c>
      <c r="AS34" s="37">
        <v>19</v>
      </c>
      <c r="AT34" s="247">
        <v>12.5</v>
      </c>
      <c r="AV34" s="219">
        <v>16</v>
      </c>
      <c r="AW34" s="219">
        <v>1.5</v>
      </c>
      <c r="AX34" s="220" t="s">
        <v>162</v>
      </c>
      <c r="AY34" s="43">
        <v>8564</v>
      </c>
      <c r="BA34" s="204">
        <f t="shared" si="15"/>
        <v>20</v>
      </c>
      <c r="BB34" s="205" t="str">
        <f t="shared" si="16"/>
        <v>E</v>
      </c>
      <c r="BC34" s="206">
        <f t="shared" si="17"/>
        <v>153.20189861064048</v>
      </c>
      <c r="BD34" s="207">
        <f t="shared" si="18"/>
        <v>0</v>
      </c>
      <c r="BE34" s="208"/>
      <c r="BF34" s="209"/>
      <c r="BG34" s="210" t="e">
        <f t="shared" si="19"/>
        <v>#N/A</v>
      </c>
      <c r="BH34" s="211"/>
      <c r="BI34" s="212"/>
      <c r="BJ34" s="210" t="e">
        <f t="shared" si="20"/>
        <v>#N/A</v>
      </c>
      <c r="BK34" s="213">
        <f t="shared" si="25"/>
        <v>0</v>
      </c>
      <c r="BL34" s="214" t="e">
        <f t="shared" si="21"/>
        <v>#DIV/0!</v>
      </c>
      <c r="BM34" s="214" t="e">
        <f t="shared" si="22"/>
        <v>#N/A</v>
      </c>
      <c r="BN34" s="215" t="e">
        <f t="shared" si="23"/>
        <v>#N/A</v>
      </c>
      <c r="BO34" s="216"/>
      <c r="BP34" s="36"/>
      <c r="BQ34" s="36"/>
    </row>
    <row r="35" spans="1:69" s="37" customFormat="1" ht="15">
      <c r="A35" s="233">
        <v>21</v>
      </c>
      <c r="B35" s="234" t="s">
        <v>163</v>
      </c>
      <c r="C35" s="235">
        <f t="shared" si="0"/>
        <v>162.3117575637482</v>
      </c>
      <c r="D35" s="227"/>
      <c r="E35" s="223"/>
      <c r="G35" s="191" t="e">
        <f t="shared" si="1"/>
        <v>#N/A</v>
      </c>
      <c r="H35" s="24" t="e">
        <f t="shared" si="24"/>
        <v>#N/A</v>
      </c>
      <c r="I35" s="218" t="e">
        <f t="shared" si="2"/>
        <v>#N/A</v>
      </c>
      <c r="J35" s="222" t="e">
        <f t="shared" si="3"/>
        <v>#NUM!</v>
      </c>
      <c r="K35" s="24"/>
      <c r="L35" s="193" t="e">
        <f t="shared" si="4"/>
        <v>#N/A</v>
      </c>
      <c r="M35" s="194"/>
      <c r="N35" s="195" t="e">
        <f t="shared" si="5"/>
        <v>#N/A</v>
      </c>
      <c r="O35" s="196">
        <f t="shared" si="6"/>
        <v>0</v>
      </c>
      <c r="P35" s="250"/>
      <c r="Q35" s="270"/>
      <c r="R35" s="191" t="e">
        <f t="shared" si="7"/>
        <v>#N/A</v>
      </c>
      <c r="S35" s="24" t="e">
        <f t="shared" si="8"/>
        <v>#N/A</v>
      </c>
      <c r="T35" s="25" t="e">
        <f t="shared" si="9"/>
        <v>#N/A</v>
      </c>
      <c r="U35" s="197" t="e">
        <f t="shared" si="10"/>
        <v>#N/A</v>
      </c>
      <c r="V35" s="198" t="e">
        <f t="shared" si="11"/>
        <v>#N/A</v>
      </c>
      <c r="W35" s="199">
        <f t="shared" si="12"/>
        <v>0</v>
      </c>
      <c r="X35" s="198" t="e">
        <f t="shared" si="13"/>
        <v>#N/A</v>
      </c>
      <c r="Y35" s="196">
        <f t="shared" si="14"/>
        <v>0</v>
      </c>
      <c r="AA35" s="133"/>
      <c r="AN35" s="200">
        <v>0.625</v>
      </c>
      <c r="AO35" s="37">
        <v>0.65</v>
      </c>
      <c r="AQ35" s="37">
        <v>23.3</v>
      </c>
      <c r="AR35" s="37">
        <v>32.4</v>
      </c>
      <c r="AS35" s="37">
        <v>21.6</v>
      </c>
      <c r="AT35" s="247">
        <v>14</v>
      </c>
      <c r="AV35" s="219">
        <v>17</v>
      </c>
      <c r="AW35" s="219">
        <v>0.5</v>
      </c>
      <c r="AX35" s="220" t="s">
        <v>164</v>
      </c>
      <c r="AY35" s="43">
        <v>7741</v>
      </c>
      <c r="BA35" s="204">
        <f t="shared" si="15"/>
        <v>21</v>
      </c>
      <c r="BB35" s="205" t="str">
        <f t="shared" si="16"/>
        <v>F</v>
      </c>
      <c r="BC35" s="206">
        <f t="shared" si="17"/>
        <v>162.3117575637482</v>
      </c>
      <c r="BD35" s="207">
        <f t="shared" si="18"/>
        <v>0</v>
      </c>
      <c r="BE35" s="208"/>
      <c r="BF35" s="209"/>
      <c r="BG35" s="210" t="e">
        <f t="shared" si="19"/>
        <v>#N/A</v>
      </c>
      <c r="BH35" s="211"/>
      <c r="BI35" s="212"/>
      <c r="BJ35" s="210" t="e">
        <f t="shared" si="20"/>
        <v>#N/A</v>
      </c>
      <c r="BK35" s="213">
        <f t="shared" si="25"/>
        <v>0</v>
      </c>
      <c r="BL35" s="214" t="e">
        <f t="shared" si="21"/>
        <v>#DIV/0!</v>
      </c>
      <c r="BM35" s="214" t="e">
        <f t="shared" si="22"/>
        <v>#N/A</v>
      </c>
      <c r="BN35" s="215" t="e">
        <f t="shared" si="23"/>
        <v>#N/A</v>
      </c>
      <c r="BO35" s="216"/>
      <c r="BP35" s="250"/>
      <c r="BQ35" s="250"/>
    </row>
    <row r="36" spans="1:69" ht="15">
      <c r="A36" s="33">
        <v>22</v>
      </c>
      <c r="B36" s="187" t="s">
        <v>165</v>
      </c>
      <c r="C36" s="188">
        <f t="shared" si="0"/>
        <v>171.96331691938443</v>
      </c>
      <c r="D36" s="250"/>
      <c r="E36" s="271"/>
      <c r="G36" s="191" t="e">
        <f t="shared" si="1"/>
        <v>#N/A</v>
      </c>
      <c r="H36" s="24" t="e">
        <f t="shared" si="24"/>
        <v>#N/A</v>
      </c>
      <c r="I36" s="218" t="e">
        <f t="shared" si="2"/>
        <v>#N/A</v>
      </c>
      <c r="J36" s="24" t="e">
        <f t="shared" si="3"/>
        <v>#NUM!</v>
      </c>
      <c r="K36" s="24"/>
      <c r="L36" s="193" t="e">
        <f t="shared" si="4"/>
        <v>#N/A</v>
      </c>
      <c r="M36" s="194"/>
      <c r="N36" s="195" t="e">
        <f t="shared" si="5"/>
        <v>#N/A</v>
      </c>
      <c r="O36" s="196">
        <f t="shared" si="6"/>
        <v>0</v>
      </c>
      <c r="P36" s="36"/>
      <c r="Q36" s="229"/>
      <c r="R36" s="191" t="e">
        <f t="shared" si="7"/>
        <v>#N/A</v>
      </c>
      <c r="S36" s="24" t="e">
        <f t="shared" si="8"/>
        <v>#N/A</v>
      </c>
      <c r="T36" s="25" t="e">
        <f t="shared" si="9"/>
        <v>#N/A</v>
      </c>
      <c r="U36" s="197" t="e">
        <f t="shared" si="10"/>
        <v>#N/A</v>
      </c>
      <c r="V36" s="198" t="e">
        <f t="shared" si="11"/>
        <v>#N/A</v>
      </c>
      <c r="W36" s="199">
        <f t="shared" si="12"/>
        <v>0</v>
      </c>
      <c r="X36" s="198" t="e">
        <f t="shared" si="13"/>
        <v>#N/A</v>
      </c>
      <c r="Y36" s="196">
        <f t="shared" si="14"/>
        <v>0</v>
      </c>
      <c r="AN36" s="200">
        <v>0.675</v>
      </c>
      <c r="AO36" s="37">
        <v>0.7</v>
      </c>
      <c r="AP36" s="37"/>
      <c r="AQ36" s="37">
        <v>26</v>
      </c>
      <c r="AR36" s="37">
        <v>35.8</v>
      </c>
      <c r="AS36" s="37">
        <v>24.3</v>
      </c>
      <c r="AT36" s="43"/>
      <c r="AV36" s="219">
        <v>18</v>
      </c>
      <c r="AW36" s="219">
        <v>0.5</v>
      </c>
      <c r="AX36" s="220" t="s">
        <v>166</v>
      </c>
      <c r="AY36" s="43">
        <v>7832</v>
      </c>
      <c r="BA36" s="204">
        <f t="shared" si="15"/>
        <v>22</v>
      </c>
      <c r="BB36" s="205" t="str">
        <f t="shared" si="16"/>
        <v>F #</v>
      </c>
      <c r="BC36" s="206">
        <f t="shared" si="17"/>
        <v>171.96331691938443</v>
      </c>
      <c r="BD36" s="207">
        <f t="shared" si="18"/>
        <v>0</v>
      </c>
      <c r="BE36" s="248"/>
      <c r="BF36" s="209"/>
      <c r="BG36" s="210" t="e">
        <f t="shared" si="19"/>
        <v>#N/A</v>
      </c>
      <c r="BH36" s="211"/>
      <c r="BI36" s="212"/>
      <c r="BJ36" s="210" t="e">
        <f t="shared" si="20"/>
        <v>#N/A</v>
      </c>
      <c r="BK36" s="213"/>
      <c r="BL36" s="214" t="e">
        <f t="shared" si="21"/>
        <v>#DIV/0!</v>
      </c>
      <c r="BM36" s="214" t="e">
        <f t="shared" si="22"/>
        <v>#N/A</v>
      </c>
      <c r="BN36" s="249" t="e">
        <f>2*#REF!</f>
        <v>#REF!</v>
      </c>
      <c r="BO36" s="250"/>
      <c r="BP36" s="36"/>
      <c r="BQ36" s="36"/>
    </row>
    <row r="37" spans="1:69" ht="15">
      <c r="A37" s="33">
        <v>23</v>
      </c>
      <c r="B37" s="187" t="s">
        <v>167</v>
      </c>
      <c r="C37" s="188">
        <f t="shared" si="0"/>
        <v>182.18878785969918</v>
      </c>
      <c r="D37" s="250"/>
      <c r="E37" s="271"/>
      <c r="G37" s="191" t="e">
        <f t="shared" si="1"/>
        <v>#N/A</v>
      </c>
      <c r="H37" s="24" t="e">
        <f t="shared" si="24"/>
        <v>#N/A</v>
      </c>
      <c r="I37" s="218" t="e">
        <f t="shared" si="2"/>
        <v>#N/A</v>
      </c>
      <c r="J37" s="24" t="e">
        <f t="shared" si="3"/>
        <v>#NUM!</v>
      </c>
      <c r="K37" s="24"/>
      <c r="L37" s="193" t="e">
        <f t="shared" si="4"/>
        <v>#N/A</v>
      </c>
      <c r="M37" s="194"/>
      <c r="N37" s="195" t="e">
        <f t="shared" si="5"/>
        <v>#N/A</v>
      </c>
      <c r="O37" s="196">
        <f t="shared" si="6"/>
        <v>0</v>
      </c>
      <c r="P37" s="36"/>
      <c r="Q37" s="229"/>
      <c r="R37" s="191" t="e">
        <f t="shared" si="7"/>
        <v>#N/A</v>
      </c>
      <c r="S37" s="24" t="e">
        <f t="shared" si="8"/>
        <v>#N/A</v>
      </c>
      <c r="T37" s="25" t="e">
        <f t="shared" si="9"/>
        <v>#N/A</v>
      </c>
      <c r="U37" s="197" t="e">
        <f t="shared" si="10"/>
        <v>#N/A</v>
      </c>
      <c r="V37" s="198" t="e">
        <f t="shared" si="11"/>
        <v>#N/A</v>
      </c>
      <c r="W37" s="199">
        <f t="shared" si="12"/>
        <v>0</v>
      </c>
      <c r="X37" s="198" t="e">
        <f t="shared" si="13"/>
        <v>#N/A</v>
      </c>
      <c r="Y37" s="196">
        <f t="shared" si="14"/>
        <v>0</v>
      </c>
      <c r="AN37" s="200">
        <v>0.725</v>
      </c>
      <c r="AO37" s="37">
        <v>0.75</v>
      </c>
      <c r="AP37" s="37"/>
      <c r="AQ37" s="37">
        <v>28.8</v>
      </c>
      <c r="AR37" s="37">
        <v>39.2</v>
      </c>
      <c r="AS37" s="37">
        <v>27.2</v>
      </c>
      <c r="AT37" s="43"/>
      <c r="AV37" s="219">
        <v>19</v>
      </c>
      <c r="AW37" s="219">
        <v>1</v>
      </c>
      <c r="AX37" s="220" t="s">
        <v>168</v>
      </c>
      <c r="AY37" s="43">
        <v>8382</v>
      </c>
      <c r="BA37" s="204">
        <f t="shared" si="15"/>
        <v>23</v>
      </c>
      <c r="BB37" s="205" t="str">
        <f t="shared" si="16"/>
        <v>G</v>
      </c>
      <c r="BC37" s="206">
        <f t="shared" si="17"/>
        <v>182.18878785969918</v>
      </c>
      <c r="BD37" s="207">
        <f t="shared" si="18"/>
        <v>0</v>
      </c>
      <c r="BE37" s="248"/>
      <c r="BF37" s="209"/>
      <c r="BG37" s="210" t="e">
        <f t="shared" si="19"/>
        <v>#N/A</v>
      </c>
      <c r="BH37" s="211"/>
      <c r="BI37" s="212"/>
      <c r="BJ37" s="210" t="e">
        <f t="shared" si="20"/>
        <v>#N/A</v>
      </c>
      <c r="BK37" s="213"/>
      <c r="BL37" s="214" t="e">
        <f t="shared" si="21"/>
        <v>#DIV/0!</v>
      </c>
      <c r="BM37" s="214" t="e">
        <f t="shared" si="22"/>
        <v>#N/A</v>
      </c>
      <c r="BN37" s="249" t="e">
        <f>2*#REF!</f>
        <v>#REF!</v>
      </c>
      <c r="BO37" s="250"/>
      <c r="BP37" s="36"/>
      <c r="BQ37" s="36"/>
    </row>
    <row r="38" spans="1:69" ht="15">
      <c r="A38" s="33">
        <v>24</v>
      </c>
      <c r="B38" s="187" t="s">
        <v>169</v>
      </c>
      <c r="C38" s="188">
        <f t="shared" si="0"/>
        <v>193.0222969434061</v>
      </c>
      <c r="D38" s="250"/>
      <c r="E38" s="271"/>
      <c r="G38" s="191" t="e">
        <f t="shared" si="1"/>
        <v>#N/A</v>
      </c>
      <c r="H38" s="24" t="e">
        <f t="shared" si="24"/>
        <v>#N/A</v>
      </c>
      <c r="I38" s="218" t="e">
        <f t="shared" si="2"/>
        <v>#N/A</v>
      </c>
      <c r="J38" s="24" t="e">
        <f t="shared" si="3"/>
        <v>#NUM!</v>
      </c>
      <c r="K38" s="24"/>
      <c r="L38" s="193" t="e">
        <f t="shared" si="4"/>
        <v>#N/A</v>
      </c>
      <c r="M38" s="194"/>
      <c r="N38" s="195" t="e">
        <f t="shared" si="5"/>
        <v>#N/A</v>
      </c>
      <c r="O38" s="196">
        <f t="shared" si="6"/>
        <v>0</v>
      </c>
      <c r="P38" s="36"/>
      <c r="Q38" s="229"/>
      <c r="R38" s="191" t="e">
        <f t="shared" si="7"/>
        <v>#N/A</v>
      </c>
      <c r="S38" s="24" t="e">
        <f t="shared" si="8"/>
        <v>#N/A</v>
      </c>
      <c r="T38" s="25" t="e">
        <f t="shared" si="9"/>
        <v>#N/A</v>
      </c>
      <c r="U38" s="197" t="e">
        <f t="shared" si="10"/>
        <v>#N/A</v>
      </c>
      <c r="V38" s="198" t="e">
        <f t="shared" si="11"/>
        <v>#N/A</v>
      </c>
      <c r="W38" s="199">
        <f t="shared" si="12"/>
        <v>0</v>
      </c>
      <c r="X38" s="198" t="e">
        <f t="shared" si="13"/>
        <v>#N/A</v>
      </c>
      <c r="Y38" s="196">
        <f t="shared" si="14"/>
        <v>0</v>
      </c>
      <c r="AN38" s="200">
        <v>0.775</v>
      </c>
      <c r="AO38" s="37">
        <v>0.8</v>
      </c>
      <c r="AP38" s="37"/>
      <c r="AQ38" s="37">
        <v>31.5</v>
      </c>
      <c r="AR38" s="37">
        <v>42.5</v>
      </c>
      <c r="AS38" s="37">
        <v>30.2</v>
      </c>
      <c r="AT38" s="43"/>
      <c r="AV38" s="251">
        <v>20</v>
      </c>
      <c r="AW38" s="251">
        <v>1.5</v>
      </c>
      <c r="AX38" s="252" t="s">
        <v>170</v>
      </c>
      <c r="AY38" s="59">
        <v>8870</v>
      </c>
      <c r="BA38" s="204">
        <f t="shared" si="15"/>
        <v>24</v>
      </c>
      <c r="BB38" s="205" t="str">
        <f t="shared" si="16"/>
        <v>G #</v>
      </c>
      <c r="BC38" s="206">
        <f t="shared" si="17"/>
        <v>193.0222969434061</v>
      </c>
      <c r="BD38" s="207">
        <f t="shared" si="18"/>
        <v>0</v>
      </c>
      <c r="BE38" s="208"/>
      <c r="BF38" s="209"/>
      <c r="BG38" s="210" t="e">
        <f t="shared" si="19"/>
        <v>#N/A</v>
      </c>
      <c r="BH38" s="211"/>
      <c r="BI38" s="212"/>
      <c r="BJ38" s="210" t="e">
        <f t="shared" si="20"/>
        <v>#N/A</v>
      </c>
      <c r="BK38" s="213"/>
      <c r="BL38" s="214" t="e">
        <f t="shared" si="21"/>
        <v>#DIV/0!</v>
      </c>
      <c r="BM38" s="214" t="e">
        <f t="shared" si="22"/>
        <v>#N/A</v>
      </c>
      <c r="BN38" s="215" t="e">
        <f>(BC38^2*BD38^2*PI()/(9.81*10^12))*BM38</f>
        <v>#N/A</v>
      </c>
      <c r="BO38" s="216"/>
      <c r="BP38" s="36"/>
      <c r="BQ38" s="36"/>
    </row>
    <row r="39" spans="1:69" ht="15">
      <c r="A39" s="33">
        <v>25</v>
      </c>
      <c r="B39" s="187" t="s">
        <v>171</v>
      </c>
      <c r="C39" s="188">
        <f t="shared" si="0"/>
        <v>204.49999999999977</v>
      </c>
      <c r="D39" s="250"/>
      <c r="E39" s="271"/>
      <c r="G39" s="191" t="e">
        <f t="shared" si="1"/>
        <v>#N/A</v>
      </c>
      <c r="H39" s="24" t="e">
        <f t="shared" si="24"/>
        <v>#N/A</v>
      </c>
      <c r="I39" s="218" t="e">
        <f t="shared" si="2"/>
        <v>#N/A</v>
      </c>
      <c r="J39" s="24" t="e">
        <f t="shared" si="3"/>
        <v>#NUM!</v>
      </c>
      <c r="K39" s="24"/>
      <c r="L39" s="193" t="e">
        <f t="shared" si="4"/>
        <v>#N/A</v>
      </c>
      <c r="M39" s="194"/>
      <c r="N39" s="195" t="e">
        <f t="shared" si="5"/>
        <v>#N/A</v>
      </c>
      <c r="O39" s="196">
        <f t="shared" si="6"/>
        <v>0</v>
      </c>
      <c r="P39" s="253"/>
      <c r="Q39" s="254"/>
      <c r="R39" s="191" t="e">
        <f t="shared" si="7"/>
        <v>#N/A</v>
      </c>
      <c r="S39" s="24" t="e">
        <f t="shared" si="8"/>
        <v>#N/A</v>
      </c>
      <c r="T39" s="317" t="e">
        <f t="shared" si="9"/>
        <v>#N/A</v>
      </c>
      <c r="U39" s="197" t="e">
        <f t="shared" si="10"/>
        <v>#N/A</v>
      </c>
      <c r="V39" s="198" t="e">
        <f t="shared" si="11"/>
        <v>#N/A</v>
      </c>
      <c r="W39" s="199">
        <f t="shared" si="12"/>
        <v>0</v>
      </c>
      <c r="X39" s="198" t="e">
        <f t="shared" si="13"/>
        <v>#N/A</v>
      </c>
      <c r="Y39" s="196">
        <f t="shared" si="14"/>
        <v>0</v>
      </c>
      <c r="AN39" s="200">
        <v>0.825</v>
      </c>
      <c r="AO39" s="37">
        <v>0.85</v>
      </c>
      <c r="AP39" s="37"/>
      <c r="AQ39" s="37"/>
      <c r="AR39" s="37">
        <v>45.7</v>
      </c>
      <c r="AS39" s="37">
        <v>33.1</v>
      </c>
      <c r="AT39" s="43"/>
      <c r="AV39" s="87">
        <v>21</v>
      </c>
      <c r="AW39" s="87">
        <v>1.5</v>
      </c>
      <c r="AX39" s="87" t="s">
        <v>83</v>
      </c>
      <c r="AY39" s="87">
        <v>8250</v>
      </c>
      <c r="BA39" s="204">
        <f t="shared" si="15"/>
        <v>25</v>
      </c>
      <c r="BB39" s="205" t="str">
        <f t="shared" si="16"/>
        <v>A</v>
      </c>
      <c r="BC39" s="206">
        <f t="shared" si="17"/>
        <v>204.49999999999977</v>
      </c>
      <c r="BD39" s="207">
        <f t="shared" si="18"/>
        <v>0</v>
      </c>
      <c r="BE39" s="208"/>
      <c r="BF39" s="209"/>
      <c r="BG39" s="210" t="e">
        <f t="shared" si="19"/>
        <v>#N/A</v>
      </c>
      <c r="BH39" s="211"/>
      <c r="BI39" s="212"/>
      <c r="BJ39" s="210" t="e">
        <f t="shared" si="20"/>
        <v>#N/A</v>
      </c>
      <c r="BK39" s="213"/>
      <c r="BL39" s="214" t="e">
        <f t="shared" si="21"/>
        <v>#DIV/0!</v>
      </c>
      <c r="BM39" s="214" t="e">
        <f t="shared" si="22"/>
        <v>#N/A</v>
      </c>
      <c r="BN39" s="215" t="e">
        <f>(BC39^2*BD39^2*PI()/(9.81*10^12))*BM39</f>
        <v>#N/A</v>
      </c>
      <c r="BO39" s="216"/>
      <c r="BP39" s="36"/>
      <c r="BQ39" s="36"/>
    </row>
    <row r="40" spans="1:69" ht="15">
      <c r="A40" s="33">
        <v>26</v>
      </c>
      <c r="B40" s="187" t="s">
        <v>172</v>
      </c>
      <c r="C40" s="188">
        <f t="shared" si="0"/>
        <v>216.66020279647566</v>
      </c>
      <c r="D40" s="250"/>
      <c r="E40" s="271"/>
      <c r="G40" s="191" t="e">
        <f t="shared" si="1"/>
        <v>#N/A</v>
      </c>
      <c r="H40" s="24" t="e">
        <f t="shared" si="24"/>
        <v>#N/A</v>
      </c>
      <c r="I40" s="218" t="e">
        <f t="shared" si="2"/>
        <v>#N/A</v>
      </c>
      <c r="J40" s="24" t="e">
        <f t="shared" si="3"/>
        <v>#NUM!</v>
      </c>
      <c r="K40" s="24"/>
      <c r="L40" s="193" t="e">
        <f t="shared" si="4"/>
        <v>#N/A</v>
      </c>
      <c r="M40" s="194"/>
      <c r="N40" s="195" t="e">
        <f t="shared" si="5"/>
        <v>#N/A</v>
      </c>
      <c r="O40" s="196">
        <f t="shared" si="6"/>
        <v>0</v>
      </c>
      <c r="P40" s="253"/>
      <c r="Q40" s="254"/>
      <c r="R40" s="191" t="e">
        <f t="shared" si="7"/>
        <v>#N/A</v>
      </c>
      <c r="S40" s="24" t="e">
        <f t="shared" si="8"/>
        <v>#N/A</v>
      </c>
      <c r="T40" s="317" t="e">
        <f t="shared" si="9"/>
        <v>#N/A</v>
      </c>
      <c r="U40" s="197" t="e">
        <f t="shared" si="10"/>
        <v>#N/A</v>
      </c>
      <c r="V40" s="198" t="e">
        <f t="shared" si="11"/>
        <v>#N/A</v>
      </c>
      <c r="W40" s="199">
        <f t="shared" si="12"/>
        <v>0</v>
      </c>
      <c r="X40" s="198" t="e">
        <f t="shared" si="13"/>
        <v>#N/A</v>
      </c>
      <c r="Y40" s="196">
        <f t="shared" si="14"/>
        <v>0</v>
      </c>
      <c r="AN40" s="200">
        <v>0.875</v>
      </c>
      <c r="AO40" s="37">
        <v>0.9</v>
      </c>
      <c r="AP40" s="37"/>
      <c r="AQ40" s="37"/>
      <c r="AR40" s="37">
        <v>48.9</v>
      </c>
      <c r="AS40" s="37">
        <v>36.1</v>
      </c>
      <c r="AT40" s="43"/>
      <c r="AV40" s="36"/>
      <c r="AW40" s="36"/>
      <c r="AX40" s="36"/>
      <c r="BA40" s="204">
        <f t="shared" si="15"/>
        <v>26</v>
      </c>
      <c r="BB40" s="205" t="str">
        <f t="shared" si="16"/>
        <v>A #</v>
      </c>
      <c r="BC40" s="206">
        <f t="shared" si="17"/>
        <v>216.66020279647566</v>
      </c>
      <c r="BD40" s="207">
        <f t="shared" si="18"/>
        <v>0</v>
      </c>
      <c r="BE40" s="208"/>
      <c r="BF40" s="209"/>
      <c r="BG40" s="210" t="e">
        <f t="shared" si="19"/>
        <v>#N/A</v>
      </c>
      <c r="BH40" s="211"/>
      <c r="BI40" s="212"/>
      <c r="BJ40" s="210" t="e">
        <f t="shared" si="20"/>
        <v>#N/A</v>
      </c>
      <c r="BK40" s="213"/>
      <c r="BL40" s="214" t="e">
        <f t="shared" si="21"/>
        <v>#DIV/0!</v>
      </c>
      <c r="BM40" s="214" t="e">
        <f t="shared" si="22"/>
        <v>#N/A</v>
      </c>
      <c r="BN40" s="215" t="e">
        <f>(BC40^2*BD40^2*PI()/(9.81*10^12))*BM40</f>
        <v>#N/A</v>
      </c>
      <c r="BO40" s="216"/>
      <c r="BP40" s="36"/>
      <c r="BQ40" s="36"/>
    </row>
    <row r="41" spans="1:68" ht="15.75" thickBot="1">
      <c r="A41" s="233">
        <v>27</v>
      </c>
      <c r="B41" s="234" t="s">
        <v>173</v>
      </c>
      <c r="C41" s="235">
        <f t="shared" si="0"/>
        <v>229.54348887926656</v>
      </c>
      <c r="D41" s="250"/>
      <c r="E41" s="271"/>
      <c r="G41" s="191" t="e">
        <f t="shared" si="1"/>
        <v>#N/A</v>
      </c>
      <c r="H41" s="24" t="e">
        <f t="shared" si="24"/>
        <v>#N/A</v>
      </c>
      <c r="I41" s="218" t="e">
        <f t="shared" si="2"/>
        <v>#N/A</v>
      </c>
      <c r="J41" s="24" t="e">
        <f t="shared" si="3"/>
        <v>#NUM!</v>
      </c>
      <c r="K41" s="24"/>
      <c r="L41" s="193" t="e">
        <f t="shared" si="4"/>
        <v>#N/A</v>
      </c>
      <c r="M41" s="194"/>
      <c r="N41" s="195" t="e">
        <f t="shared" si="5"/>
        <v>#N/A</v>
      </c>
      <c r="O41" s="196">
        <f t="shared" si="6"/>
        <v>0</v>
      </c>
      <c r="P41" s="253"/>
      <c r="Q41" s="254"/>
      <c r="R41" s="191" t="e">
        <f t="shared" si="7"/>
        <v>#N/A</v>
      </c>
      <c r="S41" s="24" t="e">
        <f t="shared" si="8"/>
        <v>#N/A</v>
      </c>
      <c r="T41" s="317" t="e">
        <f t="shared" si="9"/>
        <v>#N/A</v>
      </c>
      <c r="U41" s="197" t="e">
        <f t="shared" si="10"/>
        <v>#N/A</v>
      </c>
      <c r="V41" s="198" t="e">
        <f t="shared" si="11"/>
        <v>#N/A</v>
      </c>
      <c r="W41" s="199">
        <f t="shared" si="12"/>
        <v>0</v>
      </c>
      <c r="X41" s="198" t="e">
        <f t="shared" si="13"/>
        <v>#N/A</v>
      </c>
      <c r="Y41" s="196">
        <f t="shared" si="14"/>
        <v>0</v>
      </c>
      <c r="AN41" s="200">
        <v>0.925</v>
      </c>
      <c r="AO41" s="37">
        <v>0.95</v>
      </c>
      <c r="AP41" s="37"/>
      <c r="AQ41" s="37"/>
      <c r="AR41" s="37">
        <v>51.7</v>
      </c>
      <c r="AS41" s="37">
        <v>39</v>
      </c>
      <c r="AT41" s="43"/>
      <c r="AW41" s="36"/>
      <c r="BA41" s="174">
        <f t="shared" si="15"/>
        <v>27</v>
      </c>
      <c r="BB41" s="236" t="str">
        <f t="shared" si="16"/>
        <v>B</v>
      </c>
      <c r="BC41" s="237">
        <f t="shared" si="17"/>
        <v>229.54348887926656</v>
      </c>
      <c r="BD41" s="238">
        <f t="shared" si="18"/>
        <v>0</v>
      </c>
      <c r="BE41" s="239"/>
      <c r="BF41" s="240"/>
      <c r="BG41" s="241" t="e">
        <f t="shared" si="19"/>
        <v>#N/A</v>
      </c>
      <c r="BH41" s="242"/>
      <c r="BI41" s="255"/>
      <c r="BJ41" s="210" t="e">
        <f t="shared" si="20"/>
        <v>#N/A</v>
      </c>
      <c r="BK41" s="243"/>
      <c r="BL41" s="244" t="e">
        <f t="shared" si="21"/>
        <v>#DIV/0!</v>
      </c>
      <c r="BM41" s="244" t="e">
        <f t="shared" si="22"/>
        <v>#N/A</v>
      </c>
      <c r="BN41" s="245" t="e">
        <f>(BC41^2*BD41^2*PI()/(9.81*10^12))*BM41</f>
        <v>#N/A</v>
      </c>
      <c r="BO41" s="216"/>
      <c r="BP41" s="36"/>
    </row>
    <row r="42" spans="1:46" ht="15">
      <c r="A42" s="33">
        <v>28</v>
      </c>
      <c r="B42" s="187" t="s">
        <v>137</v>
      </c>
      <c r="C42" s="188">
        <f t="shared" si="0"/>
        <v>243.19285501805624</v>
      </c>
      <c r="D42" s="36"/>
      <c r="E42" s="190"/>
      <c r="G42" s="191" t="e">
        <f t="shared" si="1"/>
        <v>#N/A</v>
      </c>
      <c r="H42" s="24" t="e">
        <f t="shared" si="24"/>
        <v>#N/A</v>
      </c>
      <c r="I42" s="218" t="e">
        <f t="shared" si="2"/>
        <v>#N/A</v>
      </c>
      <c r="J42" s="222" t="e">
        <f t="shared" si="3"/>
        <v>#NUM!</v>
      </c>
      <c r="K42" s="24" t="e">
        <f>LOG(4*D66)</f>
        <v>#NUM!</v>
      </c>
      <c r="L42" s="193" t="e">
        <f t="shared" si="4"/>
        <v>#N/A</v>
      </c>
      <c r="M42" s="194"/>
      <c r="N42" s="195" t="e">
        <f t="shared" si="5"/>
        <v>#N/A</v>
      </c>
      <c r="O42" s="196">
        <f t="shared" si="6"/>
        <v>0</v>
      </c>
      <c r="P42" s="228"/>
      <c r="Q42" s="229"/>
      <c r="R42" s="191" t="e">
        <f t="shared" si="7"/>
        <v>#N/A</v>
      </c>
      <c r="S42" s="24" t="e">
        <f t="shared" si="8"/>
        <v>#N/A</v>
      </c>
      <c r="T42" s="25" t="e">
        <f t="shared" si="9"/>
        <v>#N/A</v>
      </c>
      <c r="U42" s="197" t="e">
        <f t="shared" si="10"/>
        <v>#N/A</v>
      </c>
      <c r="V42" s="198" t="e">
        <f t="shared" si="11"/>
        <v>#N/A</v>
      </c>
      <c r="W42" s="199">
        <f t="shared" si="12"/>
        <v>0</v>
      </c>
      <c r="X42" s="198" t="e">
        <f t="shared" si="13"/>
        <v>#N/A</v>
      </c>
      <c r="Y42" s="196">
        <f t="shared" si="14"/>
        <v>0</v>
      </c>
      <c r="AN42" s="200">
        <v>0.975</v>
      </c>
      <c r="AO42" s="37">
        <v>1</v>
      </c>
      <c r="AP42" s="37"/>
      <c r="AQ42" s="37"/>
      <c r="AR42" s="37">
        <v>54.6</v>
      </c>
      <c r="AS42" s="37">
        <v>42</v>
      </c>
      <c r="AT42" s="43"/>
    </row>
    <row r="43" spans="1:46" ht="15">
      <c r="A43" s="33">
        <v>29</v>
      </c>
      <c r="B43" s="187" t="s">
        <v>174</v>
      </c>
      <c r="C43" s="188">
        <f t="shared" si="0"/>
        <v>257.65385470350134</v>
      </c>
      <c r="D43" s="36"/>
      <c r="E43" s="190"/>
      <c r="G43" s="191" t="e">
        <f t="shared" si="1"/>
        <v>#N/A</v>
      </c>
      <c r="H43" s="24" t="e">
        <f t="shared" si="24"/>
        <v>#N/A</v>
      </c>
      <c r="I43" s="218" t="e">
        <f t="shared" si="2"/>
        <v>#N/A</v>
      </c>
      <c r="J43" s="222" t="e">
        <f t="shared" si="3"/>
        <v>#NUM!</v>
      </c>
      <c r="K43" s="24"/>
      <c r="L43" s="193" t="e">
        <f t="shared" si="4"/>
        <v>#N/A</v>
      </c>
      <c r="M43" s="194"/>
      <c r="N43" s="195" t="e">
        <f t="shared" si="5"/>
        <v>#N/A</v>
      </c>
      <c r="O43" s="196">
        <f t="shared" si="6"/>
        <v>0</v>
      </c>
      <c r="P43" s="228"/>
      <c r="Q43" s="229"/>
      <c r="R43" s="191" t="e">
        <f t="shared" si="7"/>
        <v>#N/A</v>
      </c>
      <c r="S43" s="24" t="e">
        <f t="shared" si="8"/>
        <v>#N/A</v>
      </c>
      <c r="T43" s="25" t="e">
        <f t="shared" si="9"/>
        <v>#N/A</v>
      </c>
      <c r="U43" s="197" t="e">
        <f t="shared" si="10"/>
        <v>#N/A</v>
      </c>
      <c r="V43" s="198" t="e">
        <f t="shared" si="11"/>
        <v>#N/A</v>
      </c>
      <c r="W43" s="199">
        <f t="shared" si="12"/>
        <v>0</v>
      </c>
      <c r="X43" s="198" t="e">
        <f t="shared" si="13"/>
        <v>#N/A</v>
      </c>
      <c r="Y43" s="196">
        <f t="shared" si="14"/>
        <v>0</v>
      </c>
      <c r="AN43" s="200">
        <v>1.035</v>
      </c>
      <c r="AO43" s="37">
        <v>1.07</v>
      </c>
      <c r="AP43" s="37"/>
      <c r="AQ43" s="37"/>
      <c r="AR43" s="37">
        <v>58.5</v>
      </c>
      <c r="AS43" s="37">
        <v>45.6</v>
      </c>
      <c r="AT43" s="43"/>
    </row>
    <row r="44" spans="1:46" ht="15">
      <c r="A44" s="33">
        <v>30</v>
      </c>
      <c r="B44" s="187" t="s">
        <v>175</v>
      </c>
      <c r="C44" s="188">
        <f t="shared" si="0"/>
        <v>272.9747501777718</v>
      </c>
      <c r="D44" s="36"/>
      <c r="E44" s="190"/>
      <c r="G44" s="191" t="e">
        <f t="shared" si="1"/>
        <v>#N/A</v>
      </c>
      <c r="H44" s="24" t="e">
        <f t="shared" si="24"/>
        <v>#N/A</v>
      </c>
      <c r="I44" s="218" t="e">
        <f t="shared" si="2"/>
        <v>#N/A</v>
      </c>
      <c r="J44" s="222" t="e">
        <f t="shared" si="3"/>
        <v>#NUM!</v>
      </c>
      <c r="K44" s="24"/>
      <c r="L44" s="193" t="e">
        <f t="shared" si="4"/>
        <v>#N/A</v>
      </c>
      <c r="M44" s="194"/>
      <c r="N44" s="195" t="e">
        <f t="shared" si="5"/>
        <v>#N/A</v>
      </c>
      <c r="O44" s="196">
        <f t="shared" si="6"/>
        <v>0</v>
      </c>
      <c r="P44" s="228"/>
      <c r="Q44" s="229"/>
      <c r="R44" s="191" t="e">
        <f t="shared" si="7"/>
        <v>#N/A</v>
      </c>
      <c r="S44" s="24" t="e">
        <f t="shared" si="8"/>
        <v>#N/A</v>
      </c>
      <c r="T44" s="25" t="e">
        <f t="shared" si="9"/>
        <v>#N/A</v>
      </c>
      <c r="U44" s="197" t="e">
        <f t="shared" si="10"/>
        <v>#N/A</v>
      </c>
      <c r="V44" s="198" t="e">
        <f t="shared" si="11"/>
        <v>#N/A</v>
      </c>
      <c r="W44" s="199">
        <f t="shared" si="12"/>
        <v>0</v>
      </c>
      <c r="X44" s="198" t="e">
        <f t="shared" si="13"/>
        <v>#N/A</v>
      </c>
      <c r="Y44" s="196">
        <f t="shared" si="14"/>
        <v>0</v>
      </c>
      <c r="AN44" s="200">
        <v>1.11</v>
      </c>
      <c r="AO44" s="37">
        <v>1.15</v>
      </c>
      <c r="AP44" s="37"/>
      <c r="AQ44" s="37"/>
      <c r="AR44" s="37">
        <v>62.6</v>
      </c>
      <c r="AS44" s="37">
        <v>49.6</v>
      </c>
      <c r="AT44" s="43"/>
    </row>
    <row r="45" spans="1:46" ht="15">
      <c r="A45" s="33">
        <v>31</v>
      </c>
      <c r="B45" s="187" t="s">
        <v>176</v>
      </c>
      <c r="C45" s="188">
        <f t="shared" si="0"/>
        <v>289.2066735052977</v>
      </c>
      <c r="D45" s="36"/>
      <c r="E45" s="190"/>
      <c r="G45" s="191" t="e">
        <f t="shared" si="1"/>
        <v>#N/A</v>
      </c>
      <c r="H45" s="24" t="e">
        <f t="shared" si="24"/>
        <v>#N/A</v>
      </c>
      <c r="I45" s="218" t="e">
        <f t="shared" si="2"/>
        <v>#N/A</v>
      </c>
      <c r="J45" s="222" t="e">
        <f t="shared" si="3"/>
        <v>#NUM!</v>
      </c>
      <c r="K45" s="24"/>
      <c r="L45" s="193" t="e">
        <f t="shared" si="4"/>
        <v>#N/A</v>
      </c>
      <c r="M45" s="194"/>
      <c r="N45" s="195" t="e">
        <f t="shared" si="5"/>
        <v>#N/A</v>
      </c>
      <c r="O45" s="196">
        <f t="shared" si="6"/>
        <v>0</v>
      </c>
      <c r="P45" s="228"/>
      <c r="Q45" s="229"/>
      <c r="R45" s="191" t="e">
        <f t="shared" si="7"/>
        <v>#N/A</v>
      </c>
      <c r="S45" s="24" t="e">
        <f t="shared" si="8"/>
        <v>#N/A</v>
      </c>
      <c r="T45" s="25" t="e">
        <f t="shared" si="9"/>
        <v>#N/A</v>
      </c>
      <c r="U45" s="197" t="e">
        <f t="shared" si="10"/>
        <v>#N/A</v>
      </c>
      <c r="V45" s="198" t="e">
        <f t="shared" si="11"/>
        <v>#N/A</v>
      </c>
      <c r="W45" s="199">
        <f t="shared" si="12"/>
        <v>0</v>
      </c>
      <c r="X45" s="198" t="e">
        <f t="shared" si="13"/>
        <v>#N/A</v>
      </c>
      <c r="Y45" s="196">
        <f t="shared" si="14"/>
        <v>0</v>
      </c>
      <c r="AN45" s="200">
        <v>1.19</v>
      </c>
      <c r="AO45" s="37">
        <v>1.23</v>
      </c>
      <c r="AP45" s="37"/>
      <c r="AQ45" s="37"/>
      <c r="AR45" s="37"/>
      <c r="AS45" s="37"/>
      <c r="AT45" s="43"/>
    </row>
    <row r="46" spans="1:46" ht="15">
      <c r="A46" s="33">
        <v>32</v>
      </c>
      <c r="B46" s="187" t="s">
        <v>177</v>
      </c>
      <c r="C46" s="188">
        <f t="shared" si="0"/>
        <v>306.40379722128114</v>
      </c>
      <c r="D46" s="36"/>
      <c r="E46" s="190"/>
      <c r="G46" s="191" t="e">
        <f t="shared" si="1"/>
        <v>#N/A</v>
      </c>
      <c r="H46" s="24" t="e">
        <f t="shared" si="24"/>
        <v>#N/A</v>
      </c>
      <c r="I46" s="218" t="e">
        <f t="shared" si="2"/>
        <v>#N/A</v>
      </c>
      <c r="J46" s="222" t="e">
        <f t="shared" si="3"/>
        <v>#NUM!</v>
      </c>
      <c r="K46" s="24"/>
      <c r="L46" s="193" t="e">
        <f t="shared" si="4"/>
        <v>#N/A</v>
      </c>
      <c r="M46" s="194"/>
      <c r="N46" s="195" t="e">
        <f t="shared" si="5"/>
        <v>#N/A</v>
      </c>
      <c r="O46" s="196">
        <f t="shared" si="6"/>
        <v>0</v>
      </c>
      <c r="P46" s="228"/>
      <c r="Q46" s="229"/>
      <c r="R46" s="191" t="e">
        <f t="shared" si="7"/>
        <v>#N/A</v>
      </c>
      <c r="S46" s="24" t="e">
        <f t="shared" si="8"/>
        <v>#N/A</v>
      </c>
      <c r="T46" s="25" t="e">
        <f t="shared" si="9"/>
        <v>#N/A</v>
      </c>
      <c r="U46" s="197" t="e">
        <f t="shared" si="10"/>
        <v>#N/A</v>
      </c>
      <c r="V46" s="198" t="e">
        <f t="shared" si="11"/>
        <v>#N/A</v>
      </c>
      <c r="W46" s="199">
        <f t="shared" si="12"/>
        <v>0</v>
      </c>
      <c r="X46" s="198" t="e">
        <f t="shared" si="13"/>
        <v>#N/A</v>
      </c>
      <c r="Y46" s="196">
        <f t="shared" si="14"/>
        <v>0</v>
      </c>
      <c r="AN46" s="200">
        <v>1.28</v>
      </c>
      <c r="AO46" s="37">
        <v>1.3</v>
      </c>
      <c r="AP46" s="37"/>
      <c r="AQ46" s="37"/>
      <c r="AR46" s="37"/>
      <c r="AS46" s="37"/>
      <c r="AT46" s="43"/>
    </row>
    <row r="47" spans="1:46" ht="15">
      <c r="A47" s="33">
        <v>33</v>
      </c>
      <c r="B47" s="187" t="s">
        <v>178</v>
      </c>
      <c r="C47" s="188">
        <f t="shared" si="0"/>
        <v>324.62351512749655</v>
      </c>
      <c r="D47" s="36"/>
      <c r="E47" s="190"/>
      <c r="G47" s="191" t="e">
        <f t="shared" si="1"/>
        <v>#N/A</v>
      </c>
      <c r="H47" s="24" t="e">
        <f t="shared" si="24"/>
        <v>#N/A</v>
      </c>
      <c r="I47" s="218" t="e">
        <f t="shared" si="2"/>
        <v>#N/A</v>
      </c>
      <c r="J47" s="222" t="e">
        <f t="shared" si="3"/>
        <v>#NUM!</v>
      </c>
      <c r="K47" s="24"/>
      <c r="L47" s="193" t="e">
        <f t="shared" si="4"/>
        <v>#N/A</v>
      </c>
      <c r="M47" s="194"/>
      <c r="N47" s="195" t="e">
        <f t="shared" si="5"/>
        <v>#N/A</v>
      </c>
      <c r="O47" s="196">
        <f t="shared" si="6"/>
        <v>0</v>
      </c>
      <c r="P47" s="228"/>
      <c r="Q47" s="229"/>
      <c r="R47" s="191" t="e">
        <f t="shared" si="7"/>
        <v>#N/A</v>
      </c>
      <c r="S47" s="24" t="e">
        <f t="shared" si="8"/>
        <v>#N/A</v>
      </c>
      <c r="T47" s="25" t="e">
        <f t="shared" si="9"/>
        <v>#N/A</v>
      </c>
      <c r="U47" s="197" t="e">
        <f t="shared" si="10"/>
        <v>#N/A</v>
      </c>
      <c r="V47" s="198" t="e">
        <f t="shared" si="11"/>
        <v>#N/A</v>
      </c>
      <c r="W47" s="199">
        <f t="shared" si="12"/>
        <v>0</v>
      </c>
      <c r="X47" s="198" t="e">
        <f t="shared" si="13"/>
        <v>#N/A</v>
      </c>
      <c r="Y47" s="196">
        <f t="shared" si="14"/>
        <v>0</v>
      </c>
      <c r="AN47" s="256">
        <v>1.35</v>
      </c>
      <c r="AO47" s="257">
        <v>1.4</v>
      </c>
      <c r="AP47" s="257"/>
      <c r="AQ47" s="257"/>
      <c r="AR47" s="257"/>
      <c r="AS47" s="257"/>
      <c r="AT47" s="59"/>
    </row>
    <row r="48" spans="1:25" ht="15">
      <c r="A48" s="33">
        <v>34</v>
      </c>
      <c r="B48" s="187" t="s">
        <v>179</v>
      </c>
      <c r="C48" s="188">
        <f t="shared" si="0"/>
        <v>343.926633838769</v>
      </c>
      <c r="D48" s="36"/>
      <c r="E48" s="190"/>
      <c r="G48" s="191" t="e">
        <f t="shared" si="1"/>
        <v>#N/A</v>
      </c>
      <c r="H48" s="24" t="e">
        <f t="shared" si="24"/>
        <v>#N/A</v>
      </c>
      <c r="I48" s="218" t="e">
        <f t="shared" si="2"/>
        <v>#N/A</v>
      </c>
      <c r="J48" s="222" t="e">
        <f t="shared" si="3"/>
        <v>#NUM!</v>
      </c>
      <c r="K48" s="24"/>
      <c r="L48" s="193" t="e">
        <f t="shared" si="4"/>
        <v>#N/A</v>
      </c>
      <c r="M48" s="194"/>
      <c r="N48" s="195" t="e">
        <f t="shared" si="5"/>
        <v>#N/A</v>
      </c>
      <c r="O48" s="196">
        <f t="shared" si="6"/>
        <v>0</v>
      </c>
      <c r="P48" s="228"/>
      <c r="Q48" s="229"/>
      <c r="R48" s="191" t="e">
        <f t="shared" si="7"/>
        <v>#N/A</v>
      </c>
      <c r="S48" s="24" t="e">
        <f t="shared" si="8"/>
        <v>#N/A</v>
      </c>
      <c r="T48" s="25" t="e">
        <f t="shared" si="9"/>
        <v>#N/A</v>
      </c>
      <c r="U48" s="197" t="e">
        <f t="shared" si="10"/>
        <v>#N/A</v>
      </c>
      <c r="V48" s="198" t="e">
        <f t="shared" si="11"/>
        <v>#N/A</v>
      </c>
      <c r="W48" s="199">
        <f t="shared" si="12"/>
        <v>0</v>
      </c>
      <c r="X48" s="198" t="e">
        <f t="shared" si="13"/>
        <v>#N/A</v>
      </c>
      <c r="Y48" s="196">
        <f t="shared" si="14"/>
        <v>0</v>
      </c>
    </row>
    <row r="49" spans="1:44" ht="15">
      <c r="A49" s="33">
        <v>35</v>
      </c>
      <c r="B49" s="187" t="s">
        <v>180</v>
      </c>
      <c r="C49" s="188">
        <f t="shared" si="0"/>
        <v>364.3775757193986</v>
      </c>
      <c r="D49" s="36"/>
      <c r="E49" s="190"/>
      <c r="G49" s="191" t="e">
        <f t="shared" si="1"/>
        <v>#N/A</v>
      </c>
      <c r="H49" s="24" t="e">
        <f t="shared" si="24"/>
        <v>#N/A</v>
      </c>
      <c r="I49" s="218" t="e">
        <f t="shared" si="2"/>
        <v>#N/A</v>
      </c>
      <c r="J49" s="222" t="e">
        <f t="shared" si="3"/>
        <v>#NUM!</v>
      </c>
      <c r="K49" s="24"/>
      <c r="L49" s="193" t="e">
        <f t="shared" si="4"/>
        <v>#N/A</v>
      </c>
      <c r="M49" s="194"/>
      <c r="N49" s="195" t="e">
        <f t="shared" si="5"/>
        <v>#N/A</v>
      </c>
      <c r="O49" s="196">
        <f t="shared" si="6"/>
        <v>0</v>
      </c>
      <c r="P49" s="228"/>
      <c r="Q49" s="229"/>
      <c r="R49" s="191" t="e">
        <f t="shared" si="7"/>
        <v>#N/A</v>
      </c>
      <c r="S49" s="24" t="e">
        <f t="shared" si="8"/>
        <v>#N/A</v>
      </c>
      <c r="T49" s="25" t="e">
        <f t="shared" si="9"/>
        <v>#N/A</v>
      </c>
      <c r="U49" s="197" t="e">
        <f t="shared" si="10"/>
        <v>#N/A</v>
      </c>
      <c r="V49" s="198" t="e">
        <f t="shared" si="11"/>
        <v>#N/A</v>
      </c>
      <c r="W49" s="199">
        <f t="shared" si="12"/>
        <v>0</v>
      </c>
      <c r="X49" s="198" t="e">
        <f t="shared" si="13"/>
        <v>#N/A</v>
      </c>
      <c r="Y49" s="196">
        <f t="shared" si="14"/>
        <v>0</v>
      </c>
      <c r="AN49" s="83" t="s">
        <v>181</v>
      </c>
      <c r="AO49" s="112"/>
      <c r="AP49" s="112"/>
      <c r="AQ49" s="112"/>
      <c r="AR49" s="113"/>
    </row>
    <row r="50" spans="1:44" ht="15">
      <c r="A50" s="33">
        <v>36</v>
      </c>
      <c r="B50" s="187" t="s">
        <v>182</v>
      </c>
      <c r="C50" s="188">
        <f t="shared" si="0"/>
        <v>386.04459388681244</v>
      </c>
      <c r="D50" s="36"/>
      <c r="E50" s="190"/>
      <c r="G50" s="191" t="e">
        <f aca="true" t="shared" si="26" ref="G50:G81">VLOOKUP(F50,$AV$18:$AY$38,2)</f>
        <v>#N/A</v>
      </c>
      <c r="H50" s="24" t="e">
        <f t="shared" si="24"/>
        <v>#N/A</v>
      </c>
      <c r="I50" s="218" t="e">
        <f aca="true" t="shared" si="27" ref="I50:I81">(H50*PI())/(9.81*10^12)</f>
        <v>#N/A</v>
      </c>
      <c r="J50" s="222" t="e">
        <f aca="true" t="shared" si="28" ref="J50:J81">LOG(D50)</f>
        <v>#NUM!</v>
      </c>
      <c r="K50" s="24"/>
      <c r="L50" s="193" t="e">
        <f aca="true" t="shared" si="29" ref="L50:L81">IF(F50="c",BN50,(C50*D50*E50)^2*I50)</f>
        <v>#N/A</v>
      </c>
      <c r="M50" s="194"/>
      <c r="N50" s="195" t="e">
        <f aca="true" t="shared" si="30" ref="N50:N81">M50*L50</f>
        <v>#N/A</v>
      </c>
      <c r="O50" s="196">
        <f aca="true" t="shared" si="31" ref="O50:O81">IF(F50=1,VLOOKUP(E50,$AO$18:$AT$47,2),IF(F50=1.2,VLOOKUP(E50,$AO$18:$AT$47,3),IF(F50=1.3,VLOOKUP(E50,$AO$18:$AT$47,4),IF(F50=2,VLOOKUP(E50,$AO$18:$AT$47,5),IF(F50=3,VLOOKUP(E50,$AO$18:$AT$47,6),0)))))</f>
        <v>0</v>
      </c>
      <c r="P50" s="228"/>
      <c r="Q50" s="229"/>
      <c r="R50" s="191" t="e">
        <f aca="true" t="shared" si="32" ref="R50:R81">VLOOKUP(Q50,$AV$18:$AY$38,2)</f>
        <v>#N/A</v>
      </c>
      <c r="S50" s="24" t="e">
        <f aca="true" t="shared" si="33" ref="S50:S81">VLOOKUP(Q50,$AV$19:$AY$38,4)</f>
        <v>#N/A</v>
      </c>
      <c r="T50" s="25" t="e">
        <f aca="true" t="shared" si="34" ref="T50:T81">SQRT(P50/((PI()*S50)/(9.81*10^12)*(C50*D50)^2))</f>
        <v>#N/A</v>
      </c>
      <c r="U50" s="197" t="e">
        <f aca="true" t="shared" si="35" ref="U50:U81">IF(Q50&gt;14,VLOOKUP(T50,$AN$53:$AR$71,2),VLOOKUP(T50,$AN$18:$AO$47,2))</f>
        <v>#N/A</v>
      </c>
      <c r="V50" s="198" t="e">
        <f aca="true" t="shared" si="36" ref="V50:V81">(C50*D50*U50)^2*(S50*PI())/(9.81*10^12)</f>
        <v>#N/A</v>
      </c>
      <c r="W50" s="199">
        <f aca="true" t="shared" si="37" ref="W50:W81">M50</f>
        <v>0</v>
      </c>
      <c r="X50" s="198" t="e">
        <f aca="true" t="shared" si="38" ref="X50:X81">W50*V50</f>
        <v>#N/A</v>
      </c>
      <c r="Y50" s="196">
        <f aca="true" t="shared" si="39" ref="Y50:Y81">IF(Q50=1,VLOOKUP(U50,$AO$18:$AT$47,2),IF(Q50=1.2,VLOOKUP(U50,$AO$18:$AT$47,3),IF(Q50=1.3,VLOOKUP(U50,$AO$18:$AT$47,4),IF(Q50=2,VLOOKUP(U50,$AO$18:$AT$47,5),IF(Q50=3,VLOOKUP(U50,$AO$18:$AT$47,6),0)))))</f>
        <v>0</v>
      </c>
      <c r="AN50" s="110" t="s">
        <v>142</v>
      </c>
      <c r="AO50" s="110" t="s">
        <v>143</v>
      </c>
      <c r="AP50" s="111" t="s">
        <v>144</v>
      </c>
      <c r="AQ50" s="112"/>
      <c r="AR50" s="113"/>
    </row>
    <row r="51" spans="1:44" ht="15">
      <c r="A51" s="33">
        <v>37</v>
      </c>
      <c r="B51" s="187" t="s">
        <v>183</v>
      </c>
      <c r="C51" s="188">
        <f t="shared" si="0"/>
        <v>408.99999999999983</v>
      </c>
      <c r="D51" s="36"/>
      <c r="E51" s="190"/>
      <c r="G51" s="191" t="e">
        <f t="shared" si="26"/>
        <v>#N/A</v>
      </c>
      <c r="H51" s="24" t="e">
        <f t="shared" si="24"/>
        <v>#N/A</v>
      </c>
      <c r="I51" s="218" t="e">
        <f t="shared" si="27"/>
        <v>#N/A</v>
      </c>
      <c r="J51" s="222" t="e">
        <f t="shared" si="28"/>
        <v>#NUM!</v>
      </c>
      <c r="K51" s="24"/>
      <c r="L51" s="193" t="e">
        <f t="shared" si="29"/>
        <v>#N/A</v>
      </c>
      <c r="M51" s="194"/>
      <c r="N51" s="195" t="e">
        <f t="shared" si="30"/>
        <v>#N/A</v>
      </c>
      <c r="O51" s="196">
        <f t="shared" si="31"/>
        <v>0</v>
      </c>
      <c r="P51" s="228"/>
      <c r="Q51" s="229"/>
      <c r="R51" s="191" t="e">
        <f t="shared" si="32"/>
        <v>#N/A</v>
      </c>
      <c r="S51" s="24" t="e">
        <f t="shared" si="33"/>
        <v>#N/A</v>
      </c>
      <c r="T51" s="25" t="e">
        <f t="shared" si="34"/>
        <v>#N/A</v>
      </c>
      <c r="U51" s="197" t="e">
        <f t="shared" si="35"/>
        <v>#N/A</v>
      </c>
      <c r="V51" s="198" t="e">
        <f t="shared" si="36"/>
        <v>#N/A</v>
      </c>
      <c r="W51" s="199">
        <f t="shared" si="37"/>
        <v>0</v>
      </c>
      <c r="X51" s="198" t="e">
        <f t="shared" si="38"/>
        <v>#N/A</v>
      </c>
      <c r="Y51" s="196">
        <f t="shared" si="39"/>
        <v>0</v>
      </c>
      <c r="AN51" s="134" t="s">
        <v>16</v>
      </c>
      <c r="AO51" s="134" t="s">
        <v>17</v>
      </c>
      <c r="AP51" s="258" t="s">
        <v>184</v>
      </c>
      <c r="AQ51" s="259" t="s">
        <v>185</v>
      </c>
      <c r="AR51" s="110"/>
    </row>
    <row r="52" spans="1:44" ht="15">
      <c r="A52" s="33">
        <v>38</v>
      </c>
      <c r="B52" s="187" t="s">
        <v>186</v>
      </c>
      <c r="C52" s="188">
        <f t="shared" si="0"/>
        <v>433.3204055929516</v>
      </c>
      <c r="D52" s="36"/>
      <c r="E52" s="190"/>
      <c r="G52" s="191" t="e">
        <f t="shared" si="26"/>
        <v>#N/A</v>
      </c>
      <c r="H52" s="24" t="e">
        <f t="shared" si="24"/>
        <v>#N/A</v>
      </c>
      <c r="I52" s="218" t="e">
        <f t="shared" si="27"/>
        <v>#N/A</v>
      </c>
      <c r="J52" s="222" t="e">
        <f t="shared" si="28"/>
        <v>#NUM!</v>
      </c>
      <c r="K52" s="24"/>
      <c r="L52" s="193" t="e">
        <f t="shared" si="29"/>
        <v>#N/A</v>
      </c>
      <c r="M52" s="194"/>
      <c r="N52" s="195" t="e">
        <f t="shared" si="30"/>
        <v>#N/A</v>
      </c>
      <c r="O52" s="196">
        <f t="shared" si="31"/>
        <v>0</v>
      </c>
      <c r="P52" s="228"/>
      <c r="Q52" s="229"/>
      <c r="R52" s="191" t="e">
        <f t="shared" si="32"/>
        <v>#N/A</v>
      </c>
      <c r="S52" s="24" t="e">
        <f t="shared" si="33"/>
        <v>#N/A</v>
      </c>
      <c r="T52" s="25" t="e">
        <f t="shared" si="34"/>
        <v>#N/A</v>
      </c>
      <c r="U52" s="197" t="e">
        <f t="shared" si="35"/>
        <v>#N/A</v>
      </c>
      <c r="V52" s="198" t="e">
        <f t="shared" si="36"/>
        <v>#N/A</v>
      </c>
      <c r="W52" s="199">
        <f t="shared" si="37"/>
        <v>0</v>
      </c>
      <c r="X52" s="198" t="e">
        <f t="shared" si="38"/>
        <v>#N/A</v>
      </c>
      <c r="Y52" s="196">
        <f t="shared" si="39"/>
        <v>0</v>
      </c>
      <c r="AA52" s="36"/>
      <c r="AN52" s="169" t="s">
        <v>34</v>
      </c>
      <c r="AO52" s="169" t="s">
        <v>34</v>
      </c>
      <c r="AP52" s="260" t="s">
        <v>187</v>
      </c>
      <c r="AQ52" s="261" t="s">
        <v>19</v>
      </c>
      <c r="AR52" s="169" t="s">
        <v>188</v>
      </c>
    </row>
    <row r="53" spans="1:44" ht="15">
      <c r="A53" s="33">
        <v>39</v>
      </c>
      <c r="B53" s="187" t="s">
        <v>189</v>
      </c>
      <c r="C53" s="188">
        <f t="shared" si="0"/>
        <v>459.0869777585334</v>
      </c>
      <c r="D53" s="250"/>
      <c r="E53" s="190"/>
      <c r="G53" s="191" t="e">
        <f t="shared" si="26"/>
        <v>#N/A</v>
      </c>
      <c r="H53" s="24" t="e">
        <f t="shared" si="24"/>
        <v>#N/A</v>
      </c>
      <c r="I53" s="218" t="e">
        <f t="shared" si="27"/>
        <v>#N/A</v>
      </c>
      <c r="J53" s="222" t="e">
        <f t="shared" si="28"/>
        <v>#NUM!</v>
      </c>
      <c r="K53" s="24"/>
      <c r="L53" s="193" t="e">
        <f t="shared" si="29"/>
        <v>#N/A</v>
      </c>
      <c r="M53" s="194"/>
      <c r="N53" s="195" t="e">
        <f t="shared" si="30"/>
        <v>#N/A</v>
      </c>
      <c r="O53" s="196">
        <f t="shared" si="31"/>
        <v>0</v>
      </c>
      <c r="P53" s="228"/>
      <c r="Q53" s="229"/>
      <c r="R53" s="191" t="e">
        <f t="shared" si="32"/>
        <v>#N/A</v>
      </c>
      <c r="S53" s="24" t="e">
        <f t="shared" si="33"/>
        <v>#N/A</v>
      </c>
      <c r="T53" s="25" t="e">
        <f t="shared" si="34"/>
        <v>#N/A</v>
      </c>
      <c r="U53" s="197" t="e">
        <f t="shared" si="35"/>
        <v>#N/A</v>
      </c>
      <c r="V53" s="198" t="e">
        <f t="shared" si="36"/>
        <v>#N/A</v>
      </c>
      <c r="W53" s="199">
        <f t="shared" si="37"/>
        <v>0</v>
      </c>
      <c r="X53" s="198" t="e">
        <f t="shared" si="38"/>
        <v>#N/A</v>
      </c>
      <c r="Y53" s="196">
        <f t="shared" si="39"/>
        <v>0</v>
      </c>
      <c r="AA53" s="246"/>
      <c r="AN53" s="200"/>
      <c r="AO53" s="43">
        <v>0.196</v>
      </c>
      <c r="AP53" s="37"/>
      <c r="AQ53" s="37"/>
      <c r="AR53" s="43"/>
    </row>
    <row r="54" spans="1:44" ht="15">
      <c r="A54" s="33">
        <v>40</v>
      </c>
      <c r="B54" s="187" t="s">
        <v>190</v>
      </c>
      <c r="C54" s="188">
        <f t="shared" si="0"/>
        <v>486.3857100361128</v>
      </c>
      <c r="D54" s="36"/>
      <c r="E54" s="190"/>
      <c r="G54" s="191" t="e">
        <f t="shared" si="26"/>
        <v>#N/A</v>
      </c>
      <c r="H54" s="24" t="e">
        <f t="shared" si="24"/>
        <v>#N/A</v>
      </c>
      <c r="I54" s="218" t="e">
        <f t="shared" si="27"/>
        <v>#N/A</v>
      </c>
      <c r="J54" s="222" t="e">
        <f t="shared" si="28"/>
        <v>#NUM!</v>
      </c>
      <c r="K54" s="24" t="e">
        <f>LOG(2*D66)</f>
        <v>#NUM!</v>
      </c>
      <c r="L54" s="193" t="e">
        <f t="shared" si="29"/>
        <v>#N/A</v>
      </c>
      <c r="M54" s="194"/>
      <c r="N54" s="195" t="e">
        <f t="shared" si="30"/>
        <v>#N/A</v>
      </c>
      <c r="O54" s="196">
        <f t="shared" si="31"/>
        <v>0</v>
      </c>
      <c r="P54" s="228"/>
      <c r="Q54" s="229"/>
      <c r="R54" s="191" t="e">
        <f t="shared" si="32"/>
        <v>#N/A</v>
      </c>
      <c r="S54" s="24" t="e">
        <f t="shared" si="33"/>
        <v>#N/A</v>
      </c>
      <c r="T54" s="25" t="e">
        <f t="shared" si="34"/>
        <v>#N/A</v>
      </c>
      <c r="U54" s="197" t="e">
        <f t="shared" si="35"/>
        <v>#N/A</v>
      </c>
      <c r="V54" s="198" t="e">
        <f t="shared" si="36"/>
        <v>#N/A</v>
      </c>
      <c r="W54" s="199">
        <f t="shared" si="37"/>
        <v>0</v>
      </c>
      <c r="X54" s="198" t="e">
        <f t="shared" si="38"/>
        <v>#N/A</v>
      </c>
      <c r="Y54" s="196">
        <f t="shared" si="39"/>
        <v>0</v>
      </c>
      <c r="AN54" s="200">
        <f aca="true" t="shared" si="40" ref="AN54:AN66">AO53+(AO54-AO53)/2</f>
        <v>0.20500000000000002</v>
      </c>
      <c r="AO54" s="43">
        <v>0.214</v>
      </c>
      <c r="AP54" s="37"/>
      <c r="AQ54" s="37"/>
      <c r="AR54" s="43"/>
    </row>
    <row r="55" spans="1:44" ht="15">
      <c r="A55" s="33">
        <v>41</v>
      </c>
      <c r="B55" s="187" t="s">
        <v>191</v>
      </c>
      <c r="C55" s="188">
        <f t="shared" si="0"/>
        <v>515.307709407003</v>
      </c>
      <c r="D55" s="36"/>
      <c r="E55" s="190"/>
      <c r="G55" s="191" t="e">
        <f t="shared" si="26"/>
        <v>#N/A</v>
      </c>
      <c r="H55" s="24" t="e">
        <f t="shared" si="24"/>
        <v>#N/A</v>
      </c>
      <c r="I55" s="218" t="e">
        <f t="shared" si="27"/>
        <v>#N/A</v>
      </c>
      <c r="J55" s="222" t="e">
        <f t="shared" si="28"/>
        <v>#NUM!</v>
      </c>
      <c r="K55" s="24"/>
      <c r="L55" s="193" t="e">
        <f t="shared" si="29"/>
        <v>#N/A</v>
      </c>
      <c r="M55" s="194"/>
      <c r="N55" s="195" t="e">
        <f t="shared" si="30"/>
        <v>#N/A</v>
      </c>
      <c r="O55" s="196">
        <f t="shared" si="31"/>
        <v>0</v>
      </c>
      <c r="P55" s="228"/>
      <c r="Q55" s="229"/>
      <c r="R55" s="191" t="e">
        <f t="shared" si="32"/>
        <v>#N/A</v>
      </c>
      <c r="S55" s="24" t="e">
        <f t="shared" si="33"/>
        <v>#N/A</v>
      </c>
      <c r="T55" s="25" t="e">
        <f t="shared" si="34"/>
        <v>#N/A</v>
      </c>
      <c r="U55" s="197" t="e">
        <f t="shared" si="35"/>
        <v>#N/A</v>
      </c>
      <c r="V55" s="198" t="e">
        <f t="shared" si="36"/>
        <v>#N/A</v>
      </c>
      <c r="W55" s="199">
        <f t="shared" si="37"/>
        <v>0</v>
      </c>
      <c r="X55" s="198" t="e">
        <f t="shared" si="38"/>
        <v>#N/A</v>
      </c>
      <c r="Y55" s="196">
        <f t="shared" si="39"/>
        <v>0</v>
      </c>
      <c r="AN55" s="200">
        <f t="shared" si="40"/>
        <v>0.2225</v>
      </c>
      <c r="AO55" s="43">
        <v>0.231</v>
      </c>
      <c r="AP55" s="37"/>
      <c r="AQ55" s="37"/>
      <c r="AR55" s="43"/>
    </row>
    <row r="56" spans="1:44" ht="15">
      <c r="A56" s="33">
        <v>42</v>
      </c>
      <c r="B56" s="187" t="s">
        <v>192</v>
      </c>
      <c r="C56" s="262">
        <f t="shared" si="0"/>
        <v>545.9495003555439</v>
      </c>
      <c r="D56" s="36"/>
      <c r="E56" s="190"/>
      <c r="G56" s="191" t="e">
        <f t="shared" si="26"/>
        <v>#N/A</v>
      </c>
      <c r="H56" s="24" t="e">
        <f t="shared" si="24"/>
        <v>#N/A</v>
      </c>
      <c r="I56" s="218" t="e">
        <f t="shared" si="27"/>
        <v>#N/A</v>
      </c>
      <c r="J56" s="222" t="e">
        <f t="shared" si="28"/>
        <v>#NUM!</v>
      </c>
      <c r="K56" s="24"/>
      <c r="L56" s="193" t="e">
        <f t="shared" si="29"/>
        <v>#N/A</v>
      </c>
      <c r="M56" s="194"/>
      <c r="N56" s="195" t="e">
        <f t="shared" si="30"/>
        <v>#N/A</v>
      </c>
      <c r="O56" s="196">
        <f t="shared" si="31"/>
        <v>0</v>
      </c>
      <c r="P56" s="228"/>
      <c r="Q56" s="229"/>
      <c r="R56" s="191" t="e">
        <f t="shared" si="32"/>
        <v>#N/A</v>
      </c>
      <c r="S56" s="24" t="e">
        <f t="shared" si="33"/>
        <v>#N/A</v>
      </c>
      <c r="T56" s="25" t="e">
        <f t="shared" si="34"/>
        <v>#N/A</v>
      </c>
      <c r="U56" s="197" t="e">
        <f t="shared" si="35"/>
        <v>#N/A</v>
      </c>
      <c r="V56" s="198" t="e">
        <f t="shared" si="36"/>
        <v>#N/A</v>
      </c>
      <c r="W56" s="199">
        <f t="shared" si="37"/>
        <v>0</v>
      </c>
      <c r="X56" s="198" t="e">
        <f t="shared" si="38"/>
        <v>#N/A</v>
      </c>
      <c r="Y56" s="196">
        <f t="shared" si="39"/>
        <v>0</v>
      </c>
      <c r="AN56" s="200">
        <f t="shared" si="40"/>
        <v>0.2425</v>
      </c>
      <c r="AO56" s="43">
        <v>0.254</v>
      </c>
      <c r="AP56" s="37"/>
      <c r="AQ56" s="37"/>
      <c r="AR56" s="43"/>
    </row>
    <row r="57" spans="1:44" ht="15">
      <c r="A57" s="33">
        <v>43</v>
      </c>
      <c r="B57" s="187" t="s">
        <v>193</v>
      </c>
      <c r="C57" s="262">
        <f t="shared" si="0"/>
        <v>578.4133470105958</v>
      </c>
      <c r="D57" s="36"/>
      <c r="E57" s="190"/>
      <c r="G57" s="191" t="e">
        <f t="shared" si="26"/>
        <v>#N/A</v>
      </c>
      <c r="H57" s="24" t="e">
        <f t="shared" si="24"/>
        <v>#N/A</v>
      </c>
      <c r="I57" s="218" t="e">
        <f t="shared" si="27"/>
        <v>#N/A</v>
      </c>
      <c r="J57" s="222" t="e">
        <f t="shared" si="28"/>
        <v>#NUM!</v>
      </c>
      <c r="K57" s="24"/>
      <c r="L57" s="193" t="e">
        <f t="shared" si="29"/>
        <v>#N/A</v>
      </c>
      <c r="M57" s="194"/>
      <c r="N57" s="195" t="e">
        <f t="shared" si="30"/>
        <v>#N/A</v>
      </c>
      <c r="O57" s="196">
        <f t="shared" si="31"/>
        <v>0</v>
      </c>
      <c r="P57" s="228"/>
      <c r="Q57" s="229"/>
      <c r="R57" s="191" t="e">
        <f t="shared" si="32"/>
        <v>#N/A</v>
      </c>
      <c r="S57" s="24" t="e">
        <f t="shared" si="33"/>
        <v>#N/A</v>
      </c>
      <c r="T57" s="25" t="e">
        <f t="shared" si="34"/>
        <v>#N/A</v>
      </c>
      <c r="U57" s="197" t="e">
        <f t="shared" si="35"/>
        <v>#N/A</v>
      </c>
      <c r="V57" s="198" t="e">
        <f t="shared" si="36"/>
        <v>#N/A</v>
      </c>
      <c r="W57" s="199">
        <f t="shared" si="37"/>
        <v>0</v>
      </c>
      <c r="X57" s="198" t="e">
        <f t="shared" si="38"/>
        <v>#N/A</v>
      </c>
      <c r="Y57" s="196">
        <f t="shared" si="39"/>
        <v>0</v>
      </c>
      <c r="AN57" s="200">
        <f t="shared" si="40"/>
        <v>0.267</v>
      </c>
      <c r="AO57" s="43">
        <v>0.28</v>
      </c>
      <c r="AP57" s="37"/>
      <c r="AQ57" s="37"/>
      <c r="AR57" s="43"/>
    </row>
    <row r="58" spans="1:44" ht="15">
      <c r="A58" s="33">
        <v>44</v>
      </c>
      <c r="B58" s="187" t="s">
        <v>194</v>
      </c>
      <c r="C58" s="262">
        <f t="shared" si="0"/>
        <v>612.8075944425626</v>
      </c>
      <c r="D58" s="36"/>
      <c r="E58" s="190"/>
      <c r="G58" s="191" t="e">
        <f t="shared" si="26"/>
        <v>#N/A</v>
      </c>
      <c r="H58" s="24" t="e">
        <f t="shared" si="24"/>
        <v>#N/A</v>
      </c>
      <c r="I58" s="218" t="e">
        <f t="shared" si="27"/>
        <v>#N/A</v>
      </c>
      <c r="J58" s="222" t="e">
        <f t="shared" si="28"/>
        <v>#NUM!</v>
      </c>
      <c r="K58" s="24"/>
      <c r="L58" s="193" t="e">
        <f t="shared" si="29"/>
        <v>#N/A</v>
      </c>
      <c r="M58" s="194"/>
      <c r="N58" s="195" t="e">
        <f t="shared" si="30"/>
        <v>#N/A</v>
      </c>
      <c r="O58" s="196">
        <f t="shared" si="31"/>
        <v>0</v>
      </c>
      <c r="P58" s="228"/>
      <c r="Q58" s="229"/>
      <c r="R58" s="191" t="e">
        <f t="shared" si="32"/>
        <v>#N/A</v>
      </c>
      <c r="S58" s="24" t="e">
        <f t="shared" si="33"/>
        <v>#N/A</v>
      </c>
      <c r="T58" s="25" t="e">
        <f t="shared" si="34"/>
        <v>#N/A</v>
      </c>
      <c r="U58" s="197" t="e">
        <f t="shared" si="35"/>
        <v>#N/A</v>
      </c>
      <c r="V58" s="198" t="e">
        <f t="shared" si="36"/>
        <v>#N/A</v>
      </c>
      <c r="W58" s="199">
        <f t="shared" si="37"/>
        <v>0</v>
      </c>
      <c r="X58" s="198" t="e">
        <f t="shared" si="38"/>
        <v>#N/A</v>
      </c>
      <c r="Y58" s="196">
        <f t="shared" si="39"/>
        <v>0</v>
      </c>
      <c r="AN58" s="200">
        <f t="shared" si="40"/>
        <v>0.29000000000000004</v>
      </c>
      <c r="AO58" s="43">
        <v>0.3</v>
      </c>
      <c r="AP58" s="37"/>
      <c r="AQ58" s="37"/>
      <c r="AR58" s="43"/>
    </row>
    <row r="59" spans="1:44" ht="15">
      <c r="A59" s="33">
        <v>45</v>
      </c>
      <c r="B59" s="187" t="s">
        <v>195</v>
      </c>
      <c r="C59" s="262">
        <f t="shared" si="0"/>
        <v>649.2470302549934</v>
      </c>
      <c r="D59" s="36"/>
      <c r="E59" s="190"/>
      <c r="G59" s="191" t="e">
        <f t="shared" si="26"/>
        <v>#N/A</v>
      </c>
      <c r="H59" s="24" t="e">
        <f t="shared" si="24"/>
        <v>#N/A</v>
      </c>
      <c r="I59" s="218" t="e">
        <f t="shared" si="27"/>
        <v>#N/A</v>
      </c>
      <c r="J59" s="222" t="e">
        <f t="shared" si="28"/>
        <v>#NUM!</v>
      </c>
      <c r="K59" s="24"/>
      <c r="L59" s="193" t="e">
        <f t="shared" si="29"/>
        <v>#N/A</v>
      </c>
      <c r="M59" s="194"/>
      <c r="N59" s="195" t="e">
        <f t="shared" si="30"/>
        <v>#N/A</v>
      </c>
      <c r="O59" s="196">
        <f t="shared" si="31"/>
        <v>0</v>
      </c>
      <c r="P59" s="228"/>
      <c r="Q59" s="229"/>
      <c r="R59" s="191" t="e">
        <f t="shared" si="32"/>
        <v>#N/A</v>
      </c>
      <c r="S59" s="24" t="e">
        <f t="shared" si="33"/>
        <v>#N/A</v>
      </c>
      <c r="T59" s="25" t="e">
        <f t="shared" si="34"/>
        <v>#N/A</v>
      </c>
      <c r="U59" s="197" t="e">
        <f t="shared" si="35"/>
        <v>#N/A</v>
      </c>
      <c r="V59" s="198" t="e">
        <f t="shared" si="36"/>
        <v>#N/A</v>
      </c>
      <c r="W59" s="199">
        <f t="shared" si="37"/>
        <v>0</v>
      </c>
      <c r="X59" s="198" t="e">
        <f t="shared" si="38"/>
        <v>#N/A</v>
      </c>
      <c r="Y59" s="196">
        <f t="shared" si="39"/>
        <v>0</v>
      </c>
      <c r="AN59" s="200">
        <f t="shared" si="40"/>
        <v>0.315</v>
      </c>
      <c r="AO59" s="43">
        <v>0.33</v>
      </c>
      <c r="AP59" s="37"/>
      <c r="AQ59" s="37"/>
      <c r="AR59" s="43"/>
    </row>
    <row r="60" spans="1:44" ht="15">
      <c r="A60" s="33">
        <v>46</v>
      </c>
      <c r="B60" s="187" t="s">
        <v>196</v>
      </c>
      <c r="C60" s="262">
        <f t="shared" si="0"/>
        <v>687.8532676775384</v>
      </c>
      <c r="D60" s="36"/>
      <c r="E60" s="190"/>
      <c r="G60" s="191" t="e">
        <f t="shared" si="26"/>
        <v>#N/A</v>
      </c>
      <c r="H60" s="24" t="e">
        <f t="shared" si="24"/>
        <v>#N/A</v>
      </c>
      <c r="I60" s="218" t="e">
        <f t="shared" si="27"/>
        <v>#N/A</v>
      </c>
      <c r="J60" s="222" t="e">
        <f t="shared" si="28"/>
        <v>#NUM!</v>
      </c>
      <c r="K60" s="24"/>
      <c r="L60" s="193" t="e">
        <f t="shared" si="29"/>
        <v>#N/A</v>
      </c>
      <c r="M60" s="194"/>
      <c r="N60" s="195" t="e">
        <f t="shared" si="30"/>
        <v>#N/A</v>
      </c>
      <c r="O60" s="196">
        <f t="shared" si="31"/>
        <v>0</v>
      </c>
      <c r="P60" s="228"/>
      <c r="Q60" s="229"/>
      <c r="R60" s="191" t="e">
        <f t="shared" si="32"/>
        <v>#N/A</v>
      </c>
      <c r="S60" s="24" t="e">
        <f t="shared" si="33"/>
        <v>#N/A</v>
      </c>
      <c r="T60" s="25" t="e">
        <f t="shared" si="34"/>
        <v>#N/A</v>
      </c>
      <c r="U60" s="197" t="e">
        <f t="shared" si="35"/>
        <v>#N/A</v>
      </c>
      <c r="V60" s="198" t="e">
        <f t="shared" si="36"/>
        <v>#N/A</v>
      </c>
      <c r="W60" s="199">
        <f t="shared" si="37"/>
        <v>0</v>
      </c>
      <c r="X60" s="198" t="e">
        <f t="shared" si="38"/>
        <v>#N/A</v>
      </c>
      <c r="Y60" s="196">
        <f t="shared" si="39"/>
        <v>0</v>
      </c>
      <c r="AN60" s="200">
        <f t="shared" si="40"/>
        <v>0.3425</v>
      </c>
      <c r="AO60" s="43">
        <v>0.355</v>
      </c>
      <c r="AP60" s="37"/>
      <c r="AQ60" s="37"/>
      <c r="AR60" s="43"/>
    </row>
    <row r="61" spans="1:44" ht="15">
      <c r="A61" s="33">
        <v>47</v>
      </c>
      <c r="B61" s="187" t="s">
        <v>197</v>
      </c>
      <c r="C61" s="262">
        <f t="shared" si="0"/>
        <v>728.7551514387975</v>
      </c>
      <c r="D61" s="36"/>
      <c r="E61" s="190"/>
      <c r="G61" s="191" t="e">
        <f t="shared" si="26"/>
        <v>#N/A</v>
      </c>
      <c r="H61" s="24" t="e">
        <f t="shared" si="24"/>
        <v>#N/A</v>
      </c>
      <c r="I61" s="218" t="e">
        <f t="shared" si="27"/>
        <v>#N/A</v>
      </c>
      <c r="J61" s="222" t="e">
        <f t="shared" si="28"/>
        <v>#NUM!</v>
      </c>
      <c r="K61" s="24"/>
      <c r="L61" s="193" t="e">
        <f t="shared" si="29"/>
        <v>#N/A</v>
      </c>
      <c r="M61" s="194"/>
      <c r="N61" s="195" t="e">
        <f t="shared" si="30"/>
        <v>#N/A</v>
      </c>
      <c r="O61" s="196">
        <f t="shared" si="31"/>
        <v>0</v>
      </c>
      <c r="P61" s="228"/>
      <c r="Q61" s="229"/>
      <c r="R61" s="191" t="e">
        <f t="shared" si="32"/>
        <v>#N/A</v>
      </c>
      <c r="S61" s="24" t="e">
        <f t="shared" si="33"/>
        <v>#N/A</v>
      </c>
      <c r="T61" s="25" t="e">
        <f t="shared" si="34"/>
        <v>#N/A</v>
      </c>
      <c r="U61" s="197" t="e">
        <f t="shared" si="35"/>
        <v>#N/A</v>
      </c>
      <c r="V61" s="198" t="e">
        <f t="shared" si="36"/>
        <v>#N/A</v>
      </c>
      <c r="W61" s="199">
        <f t="shared" si="37"/>
        <v>0</v>
      </c>
      <c r="X61" s="198" t="e">
        <f t="shared" si="38"/>
        <v>#N/A</v>
      </c>
      <c r="Y61" s="196">
        <f t="shared" si="39"/>
        <v>0</v>
      </c>
      <c r="AN61" s="200">
        <f t="shared" si="40"/>
        <v>0.3675</v>
      </c>
      <c r="AO61" s="263">
        <v>0.38</v>
      </c>
      <c r="AP61" s="37"/>
      <c r="AQ61" s="37"/>
      <c r="AR61" s="43"/>
    </row>
    <row r="62" spans="1:44" ht="15">
      <c r="A62" s="33">
        <v>48</v>
      </c>
      <c r="B62" s="187" t="s">
        <v>198</v>
      </c>
      <c r="C62" s="262">
        <f t="shared" si="0"/>
        <v>772.0891877736252</v>
      </c>
      <c r="D62" s="36"/>
      <c r="E62" s="190"/>
      <c r="G62" s="191" t="e">
        <f t="shared" si="26"/>
        <v>#N/A</v>
      </c>
      <c r="H62" s="24" t="e">
        <f t="shared" si="24"/>
        <v>#N/A</v>
      </c>
      <c r="I62" s="218" t="e">
        <f t="shared" si="27"/>
        <v>#N/A</v>
      </c>
      <c r="J62" s="222" t="e">
        <f t="shared" si="28"/>
        <v>#NUM!</v>
      </c>
      <c r="K62" s="24"/>
      <c r="L62" s="193" t="e">
        <f t="shared" si="29"/>
        <v>#N/A</v>
      </c>
      <c r="M62" s="194"/>
      <c r="N62" s="195" t="e">
        <f t="shared" si="30"/>
        <v>#N/A</v>
      </c>
      <c r="O62" s="196">
        <f t="shared" si="31"/>
        <v>0</v>
      </c>
      <c r="P62" s="228"/>
      <c r="Q62" s="229"/>
      <c r="R62" s="191" t="e">
        <f t="shared" si="32"/>
        <v>#N/A</v>
      </c>
      <c r="S62" s="24" t="e">
        <f t="shared" si="33"/>
        <v>#N/A</v>
      </c>
      <c r="T62" s="25" t="e">
        <f t="shared" si="34"/>
        <v>#N/A</v>
      </c>
      <c r="U62" s="197" t="e">
        <f t="shared" si="35"/>
        <v>#N/A</v>
      </c>
      <c r="V62" s="198" t="e">
        <f t="shared" si="36"/>
        <v>#N/A</v>
      </c>
      <c r="W62" s="199">
        <f t="shared" si="37"/>
        <v>0</v>
      </c>
      <c r="X62" s="198" t="e">
        <f t="shared" si="38"/>
        <v>#N/A</v>
      </c>
      <c r="Y62" s="196">
        <f t="shared" si="39"/>
        <v>0</v>
      </c>
      <c r="AN62" s="200">
        <f t="shared" si="40"/>
        <v>0.39</v>
      </c>
      <c r="AO62" s="43">
        <v>0.4</v>
      </c>
      <c r="AP62" s="37"/>
      <c r="AQ62" s="37"/>
      <c r="AR62" s="43"/>
    </row>
    <row r="63" spans="1:44" ht="15">
      <c r="A63" s="33">
        <v>49</v>
      </c>
      <c r="B63" s="187" t="s">
        <v>199</v>
      </c>
      <c r="C63" s="262">
        <f>B10</f>
        <v>818</v>
      </c>
      <c r="D63" s="36"/>
      <c r="E63" s="190"/>
      <c r="G63" s="191" t="e">
        <f t="shared" si="26"/>
        <v>#N/A</v>
      </c>
      <c r="H63" s="24" t="e">
        <f t="shared" si="24"/>
        <v>#N/A</v>
      </c>
      <c r="I63" s="218" t="e">
        <f t="shared" si="27"/>
        <v>#N/A</v>
      </c>
      <c r="J63" s="222" t="e">
        <f t="shared" si="28"/>
        <v>#NUM!</v>
      </c>
      <c r="K63" s="24"/>
      <c r="L63" s="193" t="e">
        <f t="shared" si="29"/>
        <v>#N/A</v>
      </c>
      <c r="M63" s="194"/>
      <c r="N63" s="195" t="e">
        <f t="shared" si="30"/>
        <v>#N/A</v>
      </c>
      <c r="O63" s="196">
        <f t="shared" si="31"/>
        <v>0</v>
      </c>
      <c r="P63" s="228"/>
      <c r="Q63" s="229"/>
      <c r="R63" s="191" t="e">
        <f t="shared" si="32"/>
        <v>#N/A</v>
      </c>
      <c r="S63" s="24" t="e">
        <f t="shared" si="33"/>
        <v>#N/A</v>
      </c>
      <c r="T63" s="25" t="e">
        <f t="shared" si="34"/>
        <v>#N/A</v>
      </c>
      <c r="U63" s="197" t="e">
        <f t="shared" si="35"/>
        <v>#N/A</v>
      </c>
      <c r="V63" s="198" t="e">
        <f t="shared" si="36"/>
        <v>#N/A</v>
      </c>
      <c r="W63" s="199">
        <f t="shared" si="37"/>
        <v>0</v>
      </c>
      <c r="X63" s="198" t="e">
        <f t="shared" si="38"/>
        <v>#N/A</v>
      </c>
      <c r="Y63" s="196">
        <f t="shared" si="39"/>
        <v>0</v>
      </c>
      <c r="AN63" s="200">
        <f t="shared" si="40"/>
        <v>0.42500000000000004</v>
      </c>
      <c r="AO63" s="43">
        <v>0.45</v>
      </c>
      <c r="AP63" s="37"/>
      <c r="AQ63" s="37"/>
      <c r="AR63" s="43"/>
    </row>
    <row r="64" spans="1:44" ht="15">
      <c r="A64" s="33">
        <v>50</v>
      </c>
      <c r="B64" s="187" t="s">
        <v>200</v>
      </c>
      <c r="C64" s="262">
        <f aca="true" t="shared" si="41" ref="C64:C102">Frequency_multiplier*C63</f>
        <v>866.6408111859035</v>
      </c>
      <c r="D64" s="36"/>
      <c r="E64" s="190"/>
      <c r="G64" s="191" t="e">
        <f t="shared" si="26"/>
        <v>#N/A</v>
      </c>
      <c r="H64" s="24" t="e">
        <f t="shared" si="24"/>
        <v>#N/A</v>
      </c>
      <c r="I64" s="218" t="e">
        <f t="shared" si="27"/>
        <v>#N/A</v>
      </c>
      <c r="J64" s="222" t="e">
        <f t="shared" si="28"/>
        <v>#NUM!</v>
      </c>
      <c r="K64" s="24"/>
      <c r="L64" s="193" t="e">
        <f t="shared" si="29"/>
        <v>#N/A</v>
      </c>
      <c r="M64" s="194"/>
      <c r="N64" s="195" t="e">
        <f t="shared" si="30"/>
        <v>#N/A</v>
      </c>
      <c r="O64" s="196">
        <f t="shared" si="31"/>
        <v>0</v>
      </c>
      <c r="P64" s="228"/>
      <c r="Q64" s="229"/>
      <c r="R64" s="191" t="e">
        <f t="shared" si="32"/>
        <v>#N/A</v>
      </c>
      <c r="S64" s="24" t="e">
        <f t="shared" si="33"/>
        <v>#N/A</v>
      </c>
      <c r="T64" s="25" t="e">
        <f t="shared" si="34"/>
        <v>#N/A</v>
      </c>
      <c r="U64" s="197" t="e">
        <f t="shared" si="35"/>
        <v>#N/A</v>
      </c>
      <c r="V64" s="198" t="e">
        <f t="shared" si="36"/>
        <v>#N/A</v>
      </c>
      <c r="W64" s="199">
        <f t="shared" si="37"/>
        <v>0</v>
      </c>
      <c r="X64" s="198" t="e">
        <f t="shared" si="38"/>
        <v>#N/A</v>
      </c>
      <c r="Y64" s="196">
        <f t="shared" si="39"/>
        <v>0</v>
      </c>
      <c r="AN64" s="200">
        <f t="shared" si="40"/>
        <v>0.475</v>
      </c>
      <c r="AO64" s="43">
        <v>0.5</v>
      </c>
      <c r="AP64" s="37"/>
      <c r="AQ64" s="37"/>
      <c r="AR64" s="43"/>
    </row>
    <row r="65" spans="1:44" ht="15">
      <c r="A65" s="233">
        <v>51</v>
      </c>
      <c r="B65" s="234" t="s">
        <v>201</v>
      </c>
      <c r="C65" s="264">
        <f t="shared" si="41"/>
        <v>918.1739555170672</v>
      </c>
      <c r="D65" s="250"/>
      <c r="E65" s="190"/>
      <c r="G65" s="191" t="e">
        <f t="shared" si="26"/>
        <v>#N/A</v>
      </c>
      <c r="H65" s="24" t="e">
        <f t="shared" si="24"/>
        <v>#N/A</v>
      </c>
      <c r="I65" s="218" t="e">
        <f t="shared" si="27"/>
        <v>#N/A</v>
      </c>
      <c r="J65" s="222" t="e">
        <f t="shared" si="28"/>
        <v>#NUM!</v>
      </c>
      <c r="K65" s="24"/>
      <c r="L65" s="193" t="e">
        <f t="shared" si="29"/>
        <v>#N/A</v>
      </c>
      <c r="M65" s="194"/>
      <c r="N65" s="195" t="e">
        <f t="shared" si="30"/>
        <v>#N/A</v>
      </c>
      <c r="O65" s="196">
        <f t="shared" si="31"/>
        <v>0</v>
      </c>
      <c r="P65" s="228"/>
      <c r="Q65" s="229"/>
      <c r="R65" s="191" t="e">
        <f t="shared" si="32"/>
        <v>#N/A</v>
      </c>
      <c r="S65" s="24" t="e">
        <f t="shared" si="33"/>
        <v>#N/A</v>
      </c>
      <c r="T65" s="25" t="e">
        <f t="shared" si="34"/>
        <v>#N/A</v>
      </c>
      <c r="U65" s="197" t="e">
        <f t="shared" si="35"/>
        <v>#N/A</v>
      </c>
      <c r="V65" s="198" t="e">
        <f t="shared" si="36"/>
        <v>#N/A</v>
      </c>
      <c r="W65" s="199">
        <f t="shared" si="37"/>
        <v>0</v>
      </c>
      <c r="X65" s="198" t="e">
        <f t="shared" si="38"/>
        <v>#N/A</v>
      </c>
      <c r="Y65" s="196">
        <f t="shared" si="39"/>
        <v>0</v>
      </c>
      <c r="AN65" s="200">
        <f t="shared" si="40"/>
        <v>0.53</v>
      </c>
      <c r="AO65" s="43">
        <v>0.56</v>
      </c>
      <c r="AP65" s="37"/>
      <c r="AQ65" s="37"/>
      <c r="AR65" s="43"/>
    </row>
    <row r="66" spans="1:44" ht="15">
      <c r="A66" s="33">
        <v>52</v>
      </c>
      <c r="B66" s="187" t="s">
        <v>202</v>
      </c>
      <c r="C66" s="262">
        <f t="shared" si="41"/>
        <v>972.771420072226</v>
      </c>
      <c r="D66" s="36"/>
      <c r="E66" s="190"/>
      <c r="G66" s="191" t="e">
        <f t="shared" si="26"/>
        <v>#N/A</v>
      </c>
      <c r="H66" s="24" t="e">
        <f t="shared" si="24"/>
        <v>#N/A</v>
      </c>
      <c r="I66" s="218" t="e">
        <f t="shared" si="27"/>
        <v>#N/A</v>
      </c>
      <c r="J66" s="222" t="e">
        <f t="shared" si="28"/>
        <v>#NUM!</v>
      </c>
      <c r="K66" s="24" t="e">
        <f>J66</f>
        <v>#NUM!</v>
      </c>
      <c r="L66" s="193" t="e">
        <f t="shared" si="29"/>
        <v>#N/A</v>
      </c>
      <c r="M66" s="194"/>
      <c r="N66" s="195" t="e">
        <f t="shared" si="30"/>
        <v>#N/A</v>
      </c>
      <c r="O66" s="196">
        <f t="shared" si="31"/>
        <v>0</v>
      </c>
      <c r="P66" s="228"/>
      <c r="Q66" s="229"/>
      <c r="R66" s="191" t="e">
        <f t="shared" si="32"/>
        <v>#N/A</v>
      </c>
      <c r="S66" s="24" t="e">
        <f t="shared" si="33"/>
        <v>#N/A</v>
      </c>
      <c r="T66" s="25" t="e">
        <f t="shared" si="34"/>
        <v>#N/A</v>
      </c>
      <c r="U66" s="197" t="e">
        <f t="shared" si="35"/>
        <v>#N/A</v>
      </c>
      <c r="V66" s="198" t="e">
        <f t="shared" si="36"/>
        <v>#N/A</v>
      </c>
      <c r="W66" s="199">
        <f t="shared" si="37"/>
        <v>0</v>
      </c>
      <c r="X66" s="198" t="e">
        <f t="shared" si="38"/>
        <v>#N/A</v>
      </c>
      <c r="Y66" s="196">
        <f t="shared" si="39"/>
        <v>0</v>
      </c>
      <c r="AN66" s="200">
        <f t="shared" si="40"/>
        <v>0.5800000000000001</v>
      </c>
      <c r="AO66" s="43">
        <v>0.6</v>
      </c>
      <c r="AP66" s="37"/>
      <c r="AQ66" s="37"/>
      <c r="AR66" s="43"/>
    </row>
    <row r="67" spans="1:44" ht="15">
      <c r="A67" s="33">
        <v>53</v>
      </c>
      <c r="B67" s="187" t="s">
        <v>203</v>
      </c>
      <c r="C67" s="262">
        <f t="shared" si="41"/>
        <v>1030.6154188140065</v>
      </c>
      <c r="D67" s="36"/>
      <c r="E67" s="190"/>
      <c r="G67" s="191" t="e">
        <f t="shared" si="26"/>
        <v>#N/A</v>
      </c>
      <c r="H67" s="24" t="e">
        <f t="shared" si="24"/>
        <v>#N/A</v>
      </c>
      <c r="I67" s="218" t="e">
        <f t="shared" si="27"/>
        <v>#N/A</v>
      </c>
      <c r="J67" s="222" t="e">
        <f t="shared" si="28"/>
        <v>#NUM!</v>
      </c>
      <c r="K67" s="24"/>
      <c r="L67" s="193" t="e">
        <f t="shared" si="29"/>
        <v>#N/A</v>
      </c>
      <c r="M67" s="194"/>
      <c r="N67" s="195" t="e">
        <f t="shared" si="30"/>
        <v>#N/A</v>
      </c>
      <c r="O67" s="196">
        <f t="shared" si="31"/>
        <v>0</v>
      </c>
      <c r="P67" s="228"/>
      <c r="Q67" s="229"/>
      <c r="R67" s="191" t="e">
        <f t="shared" si="32"/>
        <v>#N/A</v>
      </c>
      <c r="S67" s="24" t="e">
        <f t="shared" si="33"/>
        <v>#N/A</v>
      </c>
      <c r="T67" s="25" t="e">
        <f t="shared" si="34"/>
        <v>#N/A</v>
      </c>
      <c r="U67" s="197" t="e">
        <f t="shared" si="35"/>
        <v>#N/A</v>
      </c>
      <c r="V67" s="198" t="e">
        <f t="shared" si="36"/>
        <v>#N/A</v>
      </c>
      <c r="W67" s="199">
        <f t="shared" si="37"/>
        <v>0</v>
      </c>
      <c r="X67" s="198" t="e">
        <f t="shared" si="38"/>
        <v>#N/A</v>
      </c>
      <c r="Y67" s="196">
        <f t="shared" si="39"/>
        <v>0</v>
      </c>
      <c r="AN67" s="200"/>
      <c r="AO67" s="43"/>
      <c r="AP67" s="37"/>
      <c r="AQ67" s="37"/>
      <c r="AR67" s="43"/>
    </row>
    <row r="68" spans="1:44" ht="15">
      <c r="A68" s="33">
        <v>54</v>
      </c>
      <c r="B68" s="187" t="s">
        <v>204</v>
      </c>
      <c r="C68" s="262">
        <f t="shared" si="41"/>
        <v>1091.8990007110883</v>
      </c>
      <c r="D68" s="36"/>
      <c r="E68" s="190"/>
      <c r="G68" s="191" t="e">
        <f t="shared" si="26"/>
        <v>#N/A</v>
      </c>
      <c r="H68" s="24" t="e">
        <f t="shared" si="24"/>
        <v>#N/A</v>
      </c>
      <c r="I68" s="218" t="e">
        <f t="shared" si="27"/>
        <v>#N/A</v>
      </c>
      <c r="J68" s="222" t="e">
        <f t="shared" si="28"/>
        <v>#NUM!</v>
      </c>
      <c r="K68" s="24"/>
      <c r="L68" s="193" t="e">
        <f t="shared" si="29"/>
        <v>#N/A</v>
      </c>
      <c r="M68" s="194"/>
      <c r="N68" s="195" t="e">
        <f t="shared" si="30"/>
        <v>#N/A</v>
      </c>
      <c r="O68" s="196">
        <f t="shared" si="31"/>
        <v>0</v>
      </c>
      <c r="P68" s="228"/>
      <c r="Q68" s="229"/>
      <c r="R68" s="191" t="e">
        <f t="shared" si="32"/>
        <v>#N/A</v>
      </c>
      <c r="S68" s="24" t="e">
        <f t="shared" si="33"/>
        <v>#N/A</v>
      </c>
      <c r="T68" s="25" t="e">
        <f t="shared" si="34"/>
        <v>#N/A</v>
      </c>
      <c r="U68" s="197" t="e">
        <f t="shared" si="35"/>
        <v>#N/A</v>
      </c>
      <c r="V68" s="198" t="e">
        <f t="shared" si="36"/>
        <v>#N/A</v>
      </c>
      <c r="W68" s="199">
        <f t="shared" si="37"/>
        <v>0</v>
      </c>
      <c r="X68" s="198" t="e">
        <f t="shared" si="38"/>
        <v>#N/A</v>
      </c>
      <c r="Y68" s="196">
        <f t="shared" si="39"/>
        <v>0</v>
      </c>
      <c r="AN68" s="200"/>
      <c r="AO68" s="43"/>
      <c r="AP68" s="37"/>
      <c r="AQ68" s="37"/>
      <c r="AR68" s="43"/>
    </row>
    <row r="69" spans="1:44" ht="15">
      <c r="A69" s="33">
        <v>55</v>
      </c>
      <c r="B69" s="187" t="s">
        <v>84</v>
      </c>
      <c r="C69" s="262">
        <f t="shared" si="41"/>
        <v>1156.826694021192</v>
      </c>
      <c r="D69" s="36"/>
      <c r="E69" s="190"/>
      <c r="G69" s="191" t="e">
        <f t="shared" si="26"/>
        <v>#N/A</v>
      </c>
      <c r="H69" s="24" t="e">
        <f t="shared" si="24"/>
        <v>#N/A</v>
      </c>
      <c r="I69" s="218" t="e">
        <f t="shared" si="27"/>
        <v>#N/A</v>
      </c>
      <c r="J69" s="222" t="e">
        <f t="shared" si="28"/>
        <v>#NUM!</v>
      </c>
      <c r="K69" s="24"/>
      <c r="L69" s="193" t="e">
        <f t="shared" si="29"/>
        <v>#N/A</v>
      </c>
      <c r="M69" s="194"/>
      <c r="N69" s="195" t="e">
        <f t="shared" si="30"/>
        <v>#N/A</v>
      </c>
      <c r="O69" s="196">
        <f t="shared" si="31"/>
        <v>0</v>
      </c>
      <c r="P69" s="228"/>
      <c r="Q69" s="229"/>
      <c r="R69" s="191" t="e">
        <f t="shared" si="32"/>
        <v>#N/A</v>
      </c>
      <c r="S69" s="24" t="e">
        <f t="shared" si="33"/>
        <v>#N/A</v>
      </c>
      <c r="T69" s="25" t="e">
        <f t="shared" si="34"/>
        <v>#N/A</v>
      </c>
      <c r="U69" s="197" t="e">
        <f t="shared" si="35"/>
        <v>#N/A</v>
      </c>
      <c r="V69" s="198" t="e">
        <f t="shared" si="36"/>
        <v>#N/A</v>
      </c>
      <c r="W69" s="199">
        <f t="shared" si="37"/>
        <v>0</v>
      </c>
      <c r="X69" s="198" t="e">
        <f t="shared" si="38"/>
        <v>#N/A</v>
      </c>
      <c r="Y69" s="196">
        <f t="shared" si="39"/>
        <v>0</v>
      </c>
      <c r="AN69" s="200"/>
      <c r="AO69" s="43"/>
      <c r="AP69" s="37"/>
      <c r="AQ69" s="37"/>
      <c r="AR69" s="43"/>
    </row>
    <row r="70" spans="1:44" ht="15">
      <c r="A70" s="33">
        <v>56</v>
      </c>
      <c r="B70" s="187" t="s">
        <v>85</v>
      </c>
      <c r="C70" s="262">
        <f t="shared" si="41"/>
        <v>1225.6151888851257</v>
      </c>
      <c r="D70" s="36"/>
      <c r="E70" s="190"/>
      <c r="G70" s="191" t="e">
        <f t="shared" si="26"/>
        <v>#N/A</v>
      </c>
      <c r="H70" s="24" t="e">
        <f t="shared" si="24"/>
        <v>#N/A</v>
      </c>
      <c r="I70" s="218" t="e">
        <f t="shared" si="27"/>
        <v>#N/A</v>
      </c>
      <c r="J70" s="222" t="e">
        <f t="shared" si="28"/>
        <v>#NUM!</v>
      </c>
      <c r="K70" s="24"/>
      <c r="L70" s="193" t="e">
        <f t="shared" si="29"/>
        <v>#N/A</v>
      </c>
      <c r="M70" s="194"/>
      <c r="N70" s="195" t="e">
        <f t="shared" si="30"/>
        <v>#N/A</v>
      </c>
      <c r="O70" s="196">
        <f t="shared" si="31"/>
        <v>0</v>
      </c>
      <c r="P70" s="228"/>
      <c r="Q70" s="229"/>
      <c r="R70" s="191" t="e">
        <f t="shared" si="32"/>
        <v>#N/A</v>
      </c>
      <c r="S70" s="24" t="e">
        <f t="shared" si="33"/>
        <v>#N/A</v>
      </c>
      <c r="T70" s="25" t="e">
        <f t="shared" si="34"/>
        <v>#N/A</v>
      </c>
      <c r="U70" s="197" t="e">
        <f t="shared" si="35"/>
        <v>#N/A</v>
      </c>
      <c r="V70" s="198" t="e">
        <f t="shared" si="36"/>
        <v>#N/A</v>
      </c>
      <c r="W70" s="199">
        <f t="shared" si="37"/>
        <v>0</v>
      </c>
      <c r="X70" s="198" t="e">
        <f t="shared" si="38"/>
        <v>#N/A</v>
      </c>
      <c r="Y70" s="196">
        <f t="shared" si="39"/>
        <v>0</v>
      </c>
      <c r="AN70" s="200"/>
      <c r="AO70" s="43"/>
      <c r="AP70" s="37"/>
      <c r="AQ70" s="37"/>
      <c r="AR70" s="43"/>
    </row>
    <row r="71" spans="1:44" ht="15">
      <c r="A71" s="33">
        <v>57</v>
      </c>
      <c r="B71" s="187" t="s">
        <v>86</v>
      </c>
      <c r="C71" s="262">
        <f t="shared" si="41"/>
        <v>1298.4940605099875</v>
      </c>
      <c r="D71" s="227"/>
      <c r="E71" s="190"/>
      <c r="G71" s="191" t="e">
        <f t="shared" si="26"/>
        <v>#N/A</v>
      </c>
      <c r="H71" s="24" t="e">
        <f t="shared" si="24"/>
        <v>#N/A</v>
      </c>
      <c r="I71" s="218" t="e">
        <f t="shared" si="27"/>
        <v>#N/A</v>
      </c>
      <c r="J71" s="222" t="e">
        <f t="shared" si="28"/>
        <v>#NUM!</v>
      </c>
      <c r="K71" s="24"/>
      <c r="L71" s="193" t="e">
        <f t="shared" si="29"/>
        <v>#N/A</v>
      </c>
      <c r="M71" s="194"/>
      <c r="N71" s="195" t="e">
        <f t="shared" si="30"/>
        <v>#N/A</v>
      </c>
      <c r="O71" s="196">
        <f t="shared" si="31"/>
        <v>0</v>
      </c>
      <c r="P71" s="228"/>
      <c r="Q71" s="229"/>
      <c r="R71" s="191" t="e">
        <f t="shared" si="32"/>
        <v>#N/A</v>
      </c>
      <c r="S71" s="24" t="e">
        <f t="shared" si="33"/>
        <v>#N/A</v>
      </c>
      <c r="T71" s="25" t="e">
        <f t="shared" si="34"/>
        <v>#N/A</v>
      </c>
      <c r="U71" s="197" t="e">
        <f t="shared" si="35"/>
        <v>#N/A</v>
      </c>
      <c r="V71" s="198" t="e">
        <f t="shared" si="36"/>
        <v>#N/A</v>
      </c>
      <c r="W71" s="199">
        <f t="shared" si="37"/>
        <v>0</v>
      </c>
      <c r="X71" s="198" t="e">
        <f t="shared" si="38"/>
        <v>#N/A</v>
      </c>
      <c r="Y71" s="196">
        <f t="shared" si="39"/>
        <v>0</v>
      </c>
      <c r="AN71" s="256"/>
      <c r="AO71" s="59"/>
      <c r="AP71" s="257"/>
      <c r="AQ71" s="257"/>
      <c r="AR71" s="59"/>
    </row>
    <row r="72" spans="1:25" ht="15">
      <c r="A72" s="33">
        <v>58</v>
      </c>
      <c r="B72" s="187" t="s">
        <v>87</v>
      </c>
      <c r="C72" s="262">
        <f t="shared" si="41"/>
        <v>1375.7065353550774</v>
      </c>
      <c r="D72" s="36"/>
      <c r="E72" s="190"/>
      <c r="G72" s="191" t="e">
        <f t="shared" si="26"/>
        <v>#N/A</v>
      </c>
      <c r="H72" s="24" t="e">
        <f t="shared" si="24"/>
        <v>#N/A</v>
      </c>
      <c r="I72" s="218" t="e">
        <f t="shared" si="27"/>
        <v>#N/A</v>
      </c>
      <c r="J72" s="222" t="e">
        <f t="shared" si="28"/>
        <v>#NUM!</v>
      </c>
      <c r="K72" s="24"/>
      <c r="L72" s="193" t="e">
        <f t="shared" si="29"/>
        <v>#N/A</v>
      </c>
      <c r="M72" s="194"/>
      <c r="N72" s="195" t="e">
        <f t="shared" si="30"/>
        <v>#N/A</v>
      </c>
      <c r="O72" s="196">
        <f t="shared" si="31"/>
        <v>0</v>
      </c>
      <c r="P72" s="228"/>
      <c r="Q72" s="229"/>
      <c r="R72" s="191" t="e">
        <f t="shared" si="32"/>
        <v>#N/A</v>
      </c>
      <c r="S72" s="24" t="e">
        <f t="shared" si="33"/>
        <v>#N/A</v>
      </c>
      <c r="T72" s="25" t="e">
        <f t="shared" si="34"/>
        <v>#N/A</v>
      </c>
      <c r="U72" s="197" t="e">
        <f t="shared" si="35"/>
        <v>#N/A</v>
      </c>
      <c r="V72" s="198" t="e">
        <f t="shared" si="36"/>
        <v>#N/A</v>
      </c>
      <c r="W72" s="199">
        <f t="shared" si="37"/>
        <v>0</v>
      </c>
      <c r="X72" s="198" t="e">
        <f t="shared" si="38"/>
        <v>#N/A</v>
      </c>
      <c r="Y72" s="196">
        <f t="shared" si="39"/>
        <v>0</v>
      </c>
    </row>
    <row r="73" spans="1:25" ht="15">
      <c r="A73" s="33">
        <v>59</v>
      </c>
      <c r="B73" s="187" t="s">
        <v>88</v>
      </c>
      <c r="C73" s="262">
        <f t="shared" si="41"/>
        <v>1457.5103028775957</v>
      </c>
      <c r="D73" s="36"/>
      <c r="E73" s="190"/>
      <c r="G73" s="191" t="e">
        <f t="shared" si="26"/>
        <v>#N/A</v>
      </c>
      <c r="H73" s="24" t="e">
        <f t="shared" si="24"/>
        <v>#N/A</v>
      </c>
      <c r="I73" s="218" t="e">
        <f t="shared" si="27"/>
        <v>#N/A</v>
      </c>
      <c r="J73" s="222" t="e">
        <f t="shared" si="28"/>
        <v>#NUM!</v>
      </c>
      <c r="K73" s="24"/>
      <c r="L73" s="193" t="e">
        <f t="shared" si="29"/>
        <v>#N/A</v>
      </c>
      <c r="M73" s="194"/>
      <c r="N73" s="195" t="e">
        <f t="shared" si="30"/>
        <v>#N/A</v>
      </c>
      <c r="O73" s="196">
        <f t="shared" si="31"/>
        <v>0</v>
      </c>
      <c r="P73" s="228"/>
      <c r="Q73" s="229"/>
      <c r="R73" s="191" t="e">
        <f t="shared" si="32"/>
        <v>#N/A</v>
      </c>
      <c r="S73" s="24" t="e">
        <f t="shared" si="33"/>
        <v>#N/A</v>
      </c>
      <c r="T73" s="25" t="e">
        <f t="shared" si="34"/>
        <v>#N/A</v>
      </c>
      <c r="U73" s="197" t="e">
        <f t="shared" si="35"/>
        <v>#N/A</v>
      </c>
      <c r="V73" s="198" t="e">
        <f t="shared" si="36"/>
        <v>#N/A</v>
      </c>
      <c r="W73" s="199">
        <f t="shared" si="37"/>
        <v>0</v>
      </c>
      <c r="X73" s="198" t="e">
        <f t="shared" si="38"/>
        <v>#N/A</v>
      </c>
      <c r="Y73" s="196">
        <f t="shared" si="39"/>
        <v>0</v>
      </c>
    </row>
    <row r="74" spans="1:25" ht="15">
      <c r="A74" s="33">
        <v>60</v>
      </c>
      <c r="B74" s="187" t="s">
        <v>89</v>
      </c>
      <c r="C74" s="262">
        <f t="shared" si="41"/>
        <v>1544.1783755472513</v>
      </c>
      <c r="D74" s="36"/>
      <c r="E74" s="190"/>
      <c r="G74" s="191" t="e">
        <f t="shared" si="26"/>
        <v>#N/A</v>
      </c>
      <c r="H74" s="24" t="e">
        <f t="shared" si="24"/>
        <v>#N/A</v>
      </c>
      <c r="I74" s="218" t="e">
        <f t="shared" si="27"/>
        <v>#N/A</v>
      </c>
      <c r="J74" s="222" t="e">
        <f t="shared" si="28"/>
        <v>#NUM!</v>
      </c>
      <c r="K74" s="24"/>
      <c r="L74" s="193" t="e">
        <f t="shared" si="29"/>
        <v>#N/A</v>
      </c>
      <c r="M74" s="194"/>
      <c r="N74" s="195" t="e">
        <f t="shared" si="30"/>
        <v>#N/A</v>
      </c>
      <c r="O74" s="196">
        <f t="shared" si="31"/>
        <v>0</v>
      </c>
      <c r="P74" s="228"/>
      <c r="Q74" s="229"/>
      <c r="R74" s="191" t="e">
        <f t="shared" si="32"/>
        <v>#N/A</v>
      </c>
      <c r="S74" s="24" t="e">
        <f t="shared" si="33"/>
        <v>#N/A</v>
      </c>
      <c r="T74" s="25" t="e">
        <f t="shared" si="34"/>
        <v>#N/A</v>
      </c>
      <c r="U74" s="197" t="e">
        <f t="shared" si="35"/>
        <v>#N/A</v>
      </c>
      <c r="V74" s="198" t="e">
        <f t="shared" si="36"/>
        <v>#N/A</v>
      </c>
      <c r="W74" s="199">
        <f t="shared" si="37"/>
        <v>0</v>
      </c>
      <c r="X74" s="198" t="e">
        <f t="shared" si="38"/>
        <v>#N/A</v>
      </c>
      <c r="Y74" s="196">
        <f t="shared" si="39"/>
        <v>0</v>
      </c>
    </row>
    <row r="75" spans="1:25" ht="15">
      <c r="A75" s="33">
        <v>61</v>
      </c>
      <c r="B75" s="187" t="s">
        <v>90</v>
      </c>
      <c r="C75" s="262">
        <f t="shared" si="41"/>
        <v>1636.000000000001</v>
      </c>
      <c r="D75" s="36"/>
      <c r="E75" s="190"/>
      <c r="G75" s="191" t="e">
        <f t="shared" si="26"/>
        <v>#N/A</v>
      </c>
      <c r="H75" s="24" t="e">
        <f t="shared" si="24"/>
        <v>#N/A</v>
      </c>
      <c r="I75" s="218" t="e">
        <f t="shared" si="27"/>
        <v>#N/A</v>
      </c>
      <c r="J75" s="222" t="e">
        <f t="shared" si="28"/>
        <v>#NUM!</v>
      </c>
      <c r="K75" s="24"/>
      <c r="L75" s="193" t="e">
        <f t="shared" si="29"/>
        <v>#N/A</v>
      </c>
      <c r="M75" s="194"/>
      <c r="N75" s="195" t="e">
        <f t="shared" si="30"/>
        <v>#N/A</v>
      </c>
      <c r="O75" s="196">
        <f t="shared" si="31"/>
        <v>0</v>
      </c>
      <c r="P75" s="228"/>
      <c r="Q75" s="229"/>
      <c r="R75" s="191" t="e">
        <f t="shared" si="32"/>
        <v>#N/A</v>
      </c>
      <c r="S75" s="24" t="e">
        <f t="shared" si="33"/>
        <v>#N/A</v>
      </c>
      <c r="T75" s="25" t="e">
        <f t="shared" si="34"/>
        <v>#N/A</v>
      </c>
      <c r="U75" s="197" t="e">
        <f t="shared" si="35"/>
        <v>#N/A</v>
      </c>
      <c r="V75" s="198" t="e">
        <f t="shared" si="36"/>
        <v>#N/A</v>
      </c>
      <c r="W75" s="199">
        <f t="shared" si="37"/>
        <v>0</v>
      </c>
      <c r="X75" s="198" t="e">
        <f t="shared" si="38"/>
        <v>#N/A</v>
      </c>
      <c r="Y75" s="196">
        <f t="shared" si="39"/>
        <v>0</v>
      </c>
    </row>
    <row r="76" spans="1:25" ht="15">
      <c r="A76" s="33">
        <v>62</v>
      </c>
      <c r="B76" s="187" t="s">
        <v>91</v>
      </c>
      <c r="C76" s="262">
        <f t="shared" si="41"/>
        <v>1733.281622371808</v>
      </c>
      <c r="D76" s="36"/>
      <c r="E76" s="190"/>
      <c r="G76" s="191" t="e">
        <f t="shared" si="26"/>
        <v>#N/A</v>
      </c>
      <c r="H76" s="24" t="e">
        <f t="shared" si="24"/>
        <v>#N/A</v>
      </c>
      <c r="I76" s="218" t="e">
        <f t="shared" si="27"/>
        <v>#N/A</v>
      </c>
      <c r="J76" s="222" t="e">
        <f t="shared" si="28"/>
        <v>#NUM!</v>
      </c>
      <c r="K76" s="24"/>
      <c r="L76" s="193" t="e">
        <f t="shared" si="29"/>
        <v>#N/A</v>
      </c>
      <c r="M76" s="194"/>
      <c r="N76" s="195" t="e">
        <f t="shared" si="30"/>
        <v>#N/A</v>
      </c>
      <c r="O76" s="196">
        <f t="shared" si="31"/>
        <v>0</v>
      </c>
      <c r="P76" s="228"/>
      <c r="Q76" s="229"/>
      <c r="R76" s="191" t="e">
        <f t="shared" si="32"/>
        <v>#N/A</v>
      </c>
      <c r="S76" s="24" t="e">
        <f t="shared" si="33"/>
        <v>#N/A</v>
      </c>
      <c r="T76" s="25" t="e">
        <f t="shared" si="34"/>
        <v>#N/A</v>
      </c>
      <c r="U76" s="197" t="e">
        <f t="shared" si="35"/>
        <v>#N/A</v>
      </c>
      <c r="V76" s="198" t="e">
        <f t="shared" si="36"/>
        <v>#N/A</v>
      </c>
      <c r="W76" s="199">
        <f t="shared" si="37"/>
        <v>0</v>
      </c>
      <c r="X76" s="198" t="e">
        <f t="shared" si="38"/>
        <v>#N/A</v>
      </c>
      <c r="Y76" s="196">
        <f t="shared" si="39"/>
        <v>0</v>
      </c>
    </row>
    <row r="77" spans="1:25" ht="15">
      <c r="A77" s="233">
        <v>63</v>
      </c>
      <c r="B77" s="234" t="s">
        <v>92</v>
      </c>
      <c r="C77" s="264">
        <f t="shared" si="41"/>
        <v>1836.3479110341352</v>
      </c>
      <c r="D77" s="250"/>
      <c r="E77" s="190"/>
      <c r="G77" s="191" t="e">
        <f t="shared" si="26"/>
        <v>#N/A</v>
      </c>
      <c r="H77" s="24" t="e">
        <f t="shared" si="24"/>
        <v>#N/A</v>
      </c>
      <c r="I77" s="218" t="e">
        <f t="shared" si="27"/>
        <v>#N/A</v>
      </c>
      <c r="J77" s="222" t="e">
        <f t="shared" si="28"/>
        <v>#NUM!</v>
      </c>
      <c r="K77" s="24"/>
      <c r="L77" s="193" t="e">
        <f t="shared" si="29"/>
        <v>#N/A</v>
      </c>
      <c r="M77" s="194"/>
      <c r="N77" s="195" t="e">
        <f t="shared" si="30"/>
        <v>#N/A</v>
      </c>
      <c r="O77" s="196">
        <f t="shared" si="31"/>
        <v>0</v>
      </c>
      <c r="P77" s="228"/>
      <c r="Q77" s="229"/>
      <c r="R77" s="191" t="e">
        <f t="shared" si="32"/>
        <v>#N/A</v>
      </c>
      <c r="S77" s="24" t="e">
        <f t="shared" si="33"/>
        <v>#N/A</v>
      </c>
      <c r="T77" s="25" t="e">
        <f t="shared" si="34"/>
        <v>#N/A</v>
      </c>
      <c r="U77" s="197" t="e">
        <f t="shared" si="35"/>
        <v>#N/A</v>
      </c>
      <c r="V77" s="198" t="e">
        <f t="shared" si="36"/>
        <v>#N/A</v>
      </c>
      <c r="W77" s="199">
        <f t="shared" si="37"/>
        <v>0</v>
      </c>
      <c r="X77" s="198" t="e">
        <f t="shared" si="38"/>
        <v>#N/A</v>
      </c>
      <c r="Y77" s="196">
        <f t="shared" si="39"/>
        <v>0</v>
      </c>
    </row>
    <row r="78" spans="1:25" ht="15">
      <c r="A78" s="33">
        <v>64</v>
      </c>
      <c r="B78" s="187" t="s">
        <v>93</v>
      </c>
      <c r="C78" s="262">
        <f t="shared" si="41"/>
        <v>1945.5428401444528</v>
      </c>
      <c r="D78" s="36"/>
      <c r="E78" s="190"/>
      <c r="G78" s="191" t="e">
        <f t="shared" si="26"/>
        <v>#N/A</v>
      </c>
      <c r="H78" s="24" t="e">
        <f t="shared" si="24"/>
        <v>#N/A</v>
      </c>
      <c r="I78" s="218" t="e">
        <f t="shared" si="27"/>
        <v>#N/A</v>
      </c>
      <c r="J78" s="222" t="e">
        <f t="shared" si="28"/>
        <v>#NUM!</v>
      </c>
      <c r="K78" s="24" t="e">
        <f>LOG(D66/2)</f>
        <v>#NUM!</v>
      </c>
      <c r="L78" s="193" t="e">
        <f t="shared" si="29"/>
        <v>#N/A</v>
      </c>
      <c r="M78" s="194"/>
      <c r="N78" s="195" t="e">
        <f t="shared" si="30"/>
        <v>#N/A</v>
      </c>
      <c r="O78" s="196">
        <f t="shared" si="31"/>
        <v>0</v>
      </c>
      <c r="P78" s="228"/>
      <c r="Q78" s="229"/>
      <c r="R78" s="191" t="e">
        <f t="shared" si="32"/>
        <v>#N/A</v>
      </c>
      <c r="S78" s="24" t="e">
        <f t="shared" si="33"/>
        <v>#N/A</v>
      </c>
      <c r="T78" s="25" t="e">
        <f t="shared" si="34"/>
        <v>#N/A</v>
      </c>
      <c r="U78" s="197" t="e">
        <f t="shared" si="35"/>
        <v>#N/A</v>
      </c>
      <c r="V78" s="198" t="e">
        <f t="shared" si="36"/>
        <v>#N/A</v>
      </c>
      <c r="W78" s="199">
        <f t="shared" si="37"/>
        <v>0</v>
      </c>
      <c r="X78" s="198" t="e">
        <f t="shared" si="38"/>
        <v>#N/A</v>
      </c>
      <c r="Y78" s="196">
        <f t="shared" si="39"/>
        <v>0</v>
      </c>
    </row>
    <row r="79" spans="1:25" ht="15">
      <c r="A79" s="33">
        <v>65</v>
      </c>
      <c r="B79" s="187" t="s">
        <v>94</v>
      </c>
      <c r="C79" s="262">
        <f t="shared" si="41"/>
        <v>2061.230837628014</v>
      </c>
      <c r="D79" s="36"/>
      <c r="E79" s="190"/>
      <c r="G79" s="191" t="e">
        <f t="shared" si="26"/>
        <v>#N/A</v>
      </c>
      <c r="H79" s="24" t="e">
        <f t="shared" si="24"/>
        <v>#N/A</v>
      </c>
      <c r="I79" s="218" t="e">
        <f t="shared" si="27"/>
        <v>#N/A</v>
      </c>
      <c r="J79" s="222" t="e">
        <f t="shared" si="28"/>
        <v>#NUM!</v>
      </c>
      <c r="K79" s="24"/>
      <c r="L79" s="193" t="e">
        <f t="shared" si="29"/>
        <v>#N/A</v>
      </c>
      <c r="M79" s="194"/>
      <c r="N79" s="195" t="e">
        <f t="shared" si="30"/>
        <v>#N/A</v>
      </c>
      <c r="O79" s="196">
        <f t="shared" si="31"/>
        <v>0</v>
      </c>
      <c r="P79" s="228"/>
      <c r="Q79" s="229"/>
      <c r="R79" s="191" t="e">
        <f t="shared" si="32"/>
        <v>#N/A</v>
      </c>
      <c r="S79" s="24" t="e">
        <f t="shared" si="33"/>
        <v>#N/A</v>
      </c>
      <c r="T79" s="25" t="e">
        <f t="shared" si="34"/>
        <v>#N/A</v>
      </c>
      <c r="U79" s="197" t="e">
        <f t="shared" si="35"/>
        <v>#N/A</v>
      </c>
      <c r="V79" s="198" t="e">
        <f t="shared" si="36"/>
        <v>#N/A</v>
      </c>
      <c r="W79" s="199">
        <f t="shared" si="37"/>
        <v>0</v>
      </c>
      <c r="X79" s="198" t="e">
        <f t="shared" si="38"/>
        <v>#N/A</v>
      </c>
      <c r="Y79" s="196">
        <f t="shared" si="39"/>
        <v>0</v>
      </c>
    </row>
    <row r="80" spans="1:65" s="37" customFormat="1" ht="15">
      <c r="A80" s="233">
        <v>66</v>
      </c>
      <c r="B80" s="234" t="s">
        <v>95</v>
      </c>
      <c r="C80" s="264">
        <f t="shared" si="41"/>
        <v>2183.798001422178</v>
      </c>
      <c r="D80" s="36"/>
      <c r="E80" s="190"/>
      <c r="F80" s="31"/>
      <c r="G80" s="191" t="e">
        <f t="shared" si="26"/>
        <v>#N/A</v>
      </c>
      <c r="H80" s="24" t="e">
        <f t="shared" si="24"/>
        <v>#N/A</v>
      </c>
      <c r="I80" s="218" t="e">
        <f t="shared" si="27"/>
        <v>#N/A</v>
      </c>
      <c r="J80" s="222" t="e">
        <f t="shared" si="28"/>
        <v>#NUM!</v>
      </c>
      <c r="K80" s="24"/>
      <c r="L80" s="193" t="e">
        <f t="shared" si="29"/>
        <v>#N/A</v>
      </c>
      <c r="M80" s="194"/>
      <c r="N80" s="195" t="e">
        <f t="shared" si="30"/>
        <v>#N/A</v>
      </c>
      <c r="O80" s="196">
        <f t="shared" si="31"/>
        <v>0</v>
      </c>
      <c r="P80" s="228"/>
      <c r="Q80" s="229"/>
      <c r="R80" s="191" t="e">
        <f t="shared" si="32"/>
        <v>#N/A</v>
      </c>
      <c r="S80" s="24" t="e">
        <f t="shared" si="33"/>
        <v>#N/A</v>
      </c>
      <c r="T80" s="25" t="e">
        <f t="shared" si="34"/>
        <v>#N/A</v>
      </c>
      <c r="U80" s="197" t="e">
        <f t="shared" si="35"/>
        <v>#N/A</v>
      </c>
      <c r="V80" s="198" t="e">
        <f t="shared" si="36"/>
        <v>#N/A</v>
      </c>
      <c r="W80" s="199">
        <f t="shared" si="37"/>
        <v>0</v>
      </c>
      <c r="X80" s="198" t="e">
        <f t="shared" si="38"/>
        <v>#N/A</v>
      </c>
      <c r="Y80" s="196">
        <f t="shared" si="39"/>
        <v>0</v>
      </c>
      <c r="AA80" s="133"/>
      <c r="AV80" s="233"/>
      <c r="AW80" s="233"/>
      <c r="BC80" s="24"/>
      <c r="BE80" s="60"/>
      <c r="BG80" s="24"/>
      <c r="BJ80" s="24"/>
      <c r="BL80" s="24"/>
      <c r="BM80" s="24"/>
    </row>
    <row r="81" spans="1:25" ht="15">
      <c r="A81" s="233">
        <v>67</v>
      </c>
      <c r="B81" s="234" t="s">
        <v>96</v>
      </c>
      <c r="C81" s="264">
        <f t="shared" si="41"/>
        <v>2313.6533880423854</v>
      </c>
      <c r="D81" s="36"/>
      <c r="E81" s="190"/>
      <c r="G81" s="191" t="e">
        <f t="shared" si="26"/>
        <v>#N/A</v>
      </c>
      <c r="H81" s="24" t="e">
        <f t="shared" si="24"/>
        <v>#N/A</v>
      </c>
      <c r="I81" s="218" t="e">
        <f t="shared" si="27"/>
        <v>#N/A</v>
      </c>
      <c r="J81" s="222" t="e">
        <f t="shared" si="28"/>
        <v>#NUM!</v>
      </c>
      <c r="K81" s="265"/>
      <c r="L81" s="193" t="e">
        <f t="shared" si="29"/>
        <v>#N/A</v>
      </c>
      <c r="M81" s="194"/>
      <c r="N81" s="195" t="e">
        <f t="shared" si="30"/>
        <v>#N/A</v>
      </c>
      <c r="O81" s="196">
        <f t="shared" si="31"/>
        <v>0</v>
      </c>
      <c r="P81" s="228"/>
      <c r="Q81" s="229"/>
      <c r="R81" s="191" t="e">
        <f t="shared" si="32"/>
        <v>#N/A</v>
      </c>
      <c r="S81" s="24" t="e">
        <f t="shared" si="33"/>
        <v>#N/A</v>
      </c>
      <c r="T81" s="25" t="e">
        <f t="shared" si="34"/>
        <v>#N/A</v>
      </c>
      <c r="U81" s="197" t="e">
        <f t="shared" si="35"/>
        <v>#N/A</v>
      </c>
      <c r="V81" s="198" t="e">
        <f t="shared" si="36"/>
        <v>#N/A</v>
      </c>
      <c r="W81" s="199">
        <f t="shared" si="37"/>
        <v>0</v>
      </c>
      <c r="X81" s="198" t="e">
        <f t="shared" si="38"/>
        <v>#N/A</v>
      </c>
      <c r="Y81" s="196">
        <f t="shared" si="39"/>
        <v>0</v>
      </c>
    </row>
    <row r="82" spans="1:25" ht="15">
      <c r="A82" s="233">
        <v>68</v>
      </c>
      <c r="B82" s="234" t="s">
        <v>97</v>
      </c>
      <c r="C82" s="264">
        <f t="shared" si="41"/>
        <v>2451.230377770253</v>
      </c>
      <c r="D82" s="36"/>
      <c r="E82" s="190"/>
      <c r="G82" s="191" t="e">
        <f aca="true" t="shared" si="42" ref="G82:G102">VLOOKUP(F82,$AV$18:$AY$38,2)</f>
        <v>#N/A</v>
      </c>
      <c r="H82" s="24" t="e">
        <f t="shared" si="24"/>
        <v>#N/A</v>
      </c>
      <c r="I82" s="218" t="e">
        <f aca="true" t="shared" si="43" ref="I82:I102">(H82*PI())/(9.81*10^12)</f>
        <v>#N/A</v>
      </c>
      <c r="J82" s="222" t="e">
        <f aca="true" t="shared" si="44" ref="J82:J102">LOG(D82)</f>
        <v>#NUM!</v>
      </c>
      <c r="K82" s="265"/>
      <c r="L82" s="193" t="e">
        <f aca="true" t="shared" si="45" ref="L82:L102">IF(F82="c",BN82,(C82*D82*E82)^2*I82)</f>
        <v>#N/A</v>
      </c>
      <c r="M82" s="194"/>
      <c r="N82" s="195" t="e">
        <f aca="true" t="shared" si="46" ref="N82:N102">M82*L82</f>
        <v>#N/A</v>
      </c>
      <c r="O82" s="196">
        <f aca="true" t="shared" si="47" ref="O82:O102">IF(F82=1,VLOOKUP(E82,$AO$18:$AT$47,2),IF(F82=1.2,VLOOKUP(E82,$AO$18:$AT$47,3),IF(F82=1.3,VLOOKUP(E82,$AO$18:$AT$47,4),IF(F82=2,VLOOKUP(E82,$AO$18:$AT$47,5),IF(F82=3,VLOOKUP(E82,$AO$18:$AT$47,6),0)))))</f>
        <v>0</v>
      </c>
      <c r="P82" s="228"/>
      <c r="Q82" s="229"/>
      <c r="R82" s="191" t="e">
        <f aca="true" t="shared" si="48" ref="R82:R102">VLOOKUP(Q82,$AV$18:$AY$38,2)</f>
        <v>#N/A</v>
      </c>
      <c r="S82" s="24" t="e">
        <f aca="true" t="shared" si="49" ref="S82:S102">VLOOKUP(Q82,$AV$19:$AY$38,4)</f>
        <v>#N/A</v>
      </c>
      <c r="T82" s="25" t="e">
        <f aca="true" t="shared" si="50" ref="T82:T102">SQRT(P82/((PI()*S82)/(9.81*10^12)*(C82*D82)^2))</f>
        <v>#N/A</v>
      </c>
      <c r="U82" s="197" t="e">
        <f aca="true" t="shared" si="51" ref="U82:U102">IF(Q82&gt;14,VLOOKUP(T82,$AN$53:$AR$71,2),VLOOKUP(T82,$AN$18:$AO$47,2))</f>
        <v>#N/A</v>
      </c>
      <c r="V82" s="198" t="e">
        <f aca="true" t="shared" si="52" ref="V82:V102">(C82*D82*U82)^2*(S82*PI())/(9.81*10^12)</f>
        <v>#N/A</v>
      </c>
      <c r="W82" s="199">
        <f aca="true" t="shared" si="53" ref="W82:W102">M82</f>
        <v>0</v>
      </c>
      <c r="X82" s="198" t="e">
        <f aca="true" t="shared" si="54" ref="X82:X102">W82*V82</f>
        <v>#N/A</v>
      </c>
      <c r="Y82" s="196">
        <f aca="true" t="shared" si="55" ref="Y82:Y102">IF(Q82=1,VLOOKUP(U82,$AO$18:$AT$47,2),IF(Q82=1.2,VLOOKUP(U82,$AO$18:$AT$47,3),IF(Q82=1.3,VLOOKUP(U82,$AO$18:$AT$47,4),IF(Q82=2,VLOOKUP(U82,$AO$18:$AT$47,5),IF(Q82=3,VLOOKUP(U82,$AO$18:$AT$47,6),0)))))</f>
        <v>0</v>
      </c>
    </row>
    <row r="83" spans="1:65" s="37" customFormat="1" ht="15">
      <c r="A83" s="233">
        <v>69</v>
      </c>
      <c r="B83" s="234" t="s">
        <v>98</v>
      </c>
      <c r="C83" s="264">
        <f t="shared" si="41"/>
        <v>2596.988121019977</v>
      </c>
      <c r="D83" s="227"/>
      <c r="E83" s="190"/>
      <c r="F83" s="31"/>
      <c r="G83" s="191" t="e">
        <f t="shared" si="42"/>
        <v>#N/A</v>
      </c>
      <c r="H83" s="24" t="e">
        <f aca="true" t="shared" si="56" ref="H83:H102">VLOOKUP(F83,$AV$19:$AY$39,4)</f>
        <v>#N/A</v>
      </c>
      <c r="I83" s="218" t="e">
        <f t="shared" si="43"/>
        <v>#N/A</v>
      </c>
      <c r="J83" s="222" t="e">
        <f t="shared" si="44"/>
        <v>#NUM!</v>
      </c>
      <c r="K83" s="265"/>
      <c r="L83" s="193" t="e">
        <f t="shared" si="45"/>
        <v>#N/A</v>
      </c>
      <c r="M83" s="194"/>
      <c r="N83" s="195" t="e">
        <f t="shared" si="46"/>
        <v>#N/A</v>
      </c>
      <c r="O83" s="196">
        <f t="shared" si="47"/>
        <v>0</v>
      </c>
      <c r="P83" s="228"/>
      <c r="Q83" s="229"/>
      <c r="R83" s="191" t="e">
        <f t="shared" si="48"/>
        <v>#N/A</v>
      </c>
      <c r="S83" s="24" t="e">
        <f t="shared" si="49"/>
        <v>#N/A</v>
      </c>
      <c r="T83" s="25" t="e">
        <f t="shared" si="50"/>
        <v>#N/A</v>
      </c>
      <c r="U83" s="197" t="e">
        <f t="shared" si="51"/>
        <v>#N/A</v>
      </c>
      <c r="V83" s="198" t="e">
        <f t="shared" si="52"/>
        <v>#N/A</v>
      </c>
      <c r="W83" s="199">
        <f t="shared" si="53"/>
        <v>0</v>
      </c>
      <c r="X83" s="198" t="e">
        <f t="shared" si="54"/>
        <v>#N/A</v>
      </c>
      <c r="Y83" s="196">
        <f t="shared" si="55"/>
        <v>0</v>
      </c>
      <c r="AA83" s="133"/>
      <c r="AV83" s="233"/>
      <c r="AW83" s="233"/>
      <c r="BC83" s="24"/>
      <c r="BE83" s="60"/>
      <c r="BG83" s="24"/>
      <c r="BJ83" s="24"/>
      <c r="BL83" s="24"/>
      <c r="BM83" s="24"/>
    </row>
    <row r="84" spans="1:25" ht="15">
      <c r="A84" s="233">
        <v>70</v>
      </c>
      <c r="B84" s="234" t="s">
        <v>99</v>
      </c>
      <c r="C84" s="264">
        <f t="shared" si="41"/>
        <v>2751.4130707101567</v>
      </c>
      <c r="D84" s="189"/>
      <c r="E84" s="190"/>
      <c r="G84" s="191" t="e">
        <f t="shared" si="42"/>
        <v>#N/A</v>
      </c>
      <c r="H84" s="24" t="e">
        <f t="shared" si="56"/>
        <v>#N/A</v>
      </c>
      <c r="I84" s="218" t="e">
        <f t="shared" si="43"/>
        <v>#N/A</v>
      </c>
      <c r="J84" s="222" t="e">
        <f t="shared" si="44"/>
        <v>#NUM!</v>
      </c>
      <c r="K84" s="265"/>
      <c r="L84" s="193" t="e">
        <f t="shared" si="45"/>
        <v>#N/A</v>
      </c>
      <c r="M84" s="194"/>
      <c r="N84" s="195" t="e">
        <f t="shared" si="46"/>
        <v>#N/A</v>
      </c>
      <c r="O84" s="196">
        <f t="shared" si="47"/>
        <v>0</v>
      </c>
      <c r="P84" s="228"/>
      <c r="Q84" s="229"/>
      <c r="R84" s="191" t="e">
        <f t="shared" si="48"/>
        <v>#N/A</v>
      </c>
      <c r="S84" s="24" t="e">
        <f t="shared" si="49"/>
        <v>#N/A</v>
      </c>
      <c r="T84" s="25" t="e">
        <f t="shared" si="50"/>
        <v>#N/A</v>
      </c>
      <c r="U84" s="197" t="e">
        <f t="shared" si="51"/>
        <v>#N/A</v>
      </c>
      <c r="V84" s="198" t="e">
        <f t="shared" si="52"/>
        <v>#N/A</v>
      </c>
      <c r="W84" s="199">
        <f t="shared" si="53"/>
        <v>0</v>
      </c>
      <c r="X84" s="198" t="e">
        <f t="shared" si="54"/>
        <v>#N/A</v>
      </c>
      <c r="Y84" s="196">
        <f t="shared" si="55"/>
        <v>0</v>
      </c>
    </row>
    <row r="85" spans="1:65" s="37" customFormat="1" ht="15">
      <c r="A85" s="233">
        <v>71</v>
      </c>
      <c r="B85" s="234" t="s">
        <v>100</v>
      </c>
      <c r="C85" s="264">
        <f t="shared" si="41"/>
        <v>2915.020605755193</v>
      </c>
      <c r="D85" s="189"/>
      <c r="E85" s="190"/>
      <c r="F85" s="31"/>
      <c r="G85" s="191" t="e">
        <f t="shared" si="42"/>
        <v>#N/A</v>
      </c>
      <c r="H85" s="24" t="e">
        <f t="shared" si="56"/>
        <v>#N/A</v>
      </c>
      <c r="I85" s="218" t="e">
        <f t="shared" si="43"/>
        <v>#N/A</v>
      </c>
      <c r="J85" s="222" t="e">
        <f t="shared" si="44"/>
        <v>#NUM!</v>
      </c>
      <c r="K85" s="265"/>
      <c r="L85" s="193" t="e">
        <f t="shared" si="45"/>
        <v>#N/A</v>
      </c>
      <c r="M85" s="194"/>
      <c r="N85" s="195" t="e">
        <f t="shared" si="46"/>
        <v>#N/A</v>
      </c>
      <c r="O85" s="196">
        <f t="shared" si="47"/>
        <v>0</v>
      </c>
      <c r="P85" s="228"/>
      <c r="Q85" s="229"/>
      <c r="R85" s="191" t="e">
        <f t="shared" si="48"/>
        <v>#N/A</v>
      </c>
      <c r="S85" s="24" t="e">
        <f t="shared" si="49"/>
        <v>#N/A</v>
      </c>
      <c r="T85" s="25" t="e">
        <f t="shared" si="50"/>
        <v>#N/A</v>
      </c>
      <c r="U85" s="197" t="e">
        <f t="shared" si="51"/>
        <v>#N/A</v>
      </c>
      <c r="V85" s="198" t="e">
        <f t="shared" si="52"/>
        <v>#N/A</v>
      </c>
      <c r="W85" s="199">
        <f t="shared" si="53"/>
        <v>0</v>
      </c>
      <c r="X85" s="198" t="e">
        <f t="shared" si="54"/>
        <v>#N/A</v>
      </c>
      <c r="Y85" s="196">
        <f t="shared" si="55"/>
        <v>0</v>
      </c>
      <c r="AA85" s="133"/>
      <c r="AV85" s="233"/>
      <c r="AW85" s="233"/>
      <c r="BC85" s="24"/>
      <c r="BE85" s="60"/>
      <c r="BG85" s="24"/>
      <c r="BJ85" s="24"/>
      <c r="BL85" s="24"/>
      <c r="BM85" s="24"/>
    </row>
    <row r="86" spans="1:25" ht="15">
      <c r="A86" s="33">
        <v>72</v>
      </c>
      <c r="B86" s="187" t="s">
        <v>182</v>
      </c>
      <c r="C86" s="264">
        <f t="shared" si="41"/>
        <v>3088.3567510945045</v>
      </c>
      <c r="E86" s="190"/>
      <c r="G86" s="191" t="e">
        <f t="shared" si="42"/>
        <v>#N/A</v>
      </c>
      <c r="H86" s="24" t="e">
        <f t="shared" si="56"/>
        <v>#N/A</v>
      </c>
      <c r="I86" s="218" t="e">
        <f t="shared" si="43"/>
        <v>#N/A</v>
      </c>
      <c r="J86" s="24" t="e">
        <f t="shared" si="44"/>
        <v>#NUM!</v>
      </c>
      <c r="L86" s="193" t="e">
        <f t="shared" si="45"/>
        <v>#N/A</v>
      </c>
      <c r="M86" s="194"/>
      <c r="N86" s="195" t="e">
        <f t="shared" si="46"/>
        <v>#N/A</v>
      </c>
      <c r="O86" s="196">
        <f t="shared" si="47"/>
        <v>0</v>
      </c>
      <c r="P86" s="37"/>
      <c r="Q86" s="37"/>
      <c r="R86" s="191" t="e">
        <f t="shared" si="48"/>
        <v>#N/A</v>
      </c>
      <c r="S86" s="24" t="e">
        <f t="shared" si="49"/>
        <v>#N/A</v>
      </c>
      <c r="T86" s="25" t="e">
        <f t="shared" si="50"/>
        <v>#N/A</v>
      </c>
      <c r="U86" s="197" t="e">
        <f t="shared" si="51"/>
        <v>#N/A</v>
      </c>
      <c r="V86" s="198" t="e">
        <f t="shared" si="52"/>
        <v>#N/A</v>
      </c>
      <c r="W86" s="199">
        <f t="shared" si="53"/>
        <v>0</v>
      </c>
      <c r="X86" s="198" t="e">
        <f t="shared" si="54"/>
        <v>#N/A</v>
      </c>
      <c r="Y86" s="196">
        <f t="shared" si="55"/>
        <v>0</v>
      </c>
    </row>
    <row r="87" spans="1:25" ht="15">
      <c r="A87" s="33">
        <v>73</v>
      </c>
      <c r="B87" s="187" t="s">
        <v>101</v>
      </c>
      <c r="C87" s="264">
        <f t="shared" si="41"/>
        <v>3272.0000000000036</v>
      </c>
      <c r="E87" s="190"/>
      <c r="G87" s="191" t="e">
        <f t="shared" si="42"/>
        <v>#N/A</v>
      </c>
      <c r="H87" s="24" t="e">
        <f t="shared" si="56"/>
        <v>#N/A</v>
      </c>
      <c r="I87" s="218" t="e">
        <f t="shared" si="43"/>
        <v>#N/A</v>
      </c>
      <c r="J87" s="24" t="e">
        <f t="shared" si="44"/>
        <v>#NUM!</v>
      </c>
      <c r="L87" s="193" t="e">
        <f t="shared" si="45"/>
        <v>#N/A</v>
      </c>
      <c r="M87" s="194"/>
      <c r="N87" s="195" t="e">
        <f t="shared" si="46"/>
        <v>#N/A</v>
      </c>
      <c r="O87" s="196">
        <f t="shared" si="47"/>
        <v>0</v>
      </c>
      <c r="P87" s="37"/>
      <c r="Q87" s="37"/>
      <c r="R87" s="191" t="e">
        <f t="shared" si="48"/>
        <v>#N/A</v>
      </c>
      <c r="S87" s="24" t="e">
        <f t="shared" si="49"/>
        <v>#N/A</v>
      </c>
      <c r="T87" s="25" t="e">
        <f t="shared" si="50"/>
        <v>#N/A</v>
      </c>
      <c r="U87" s="197" t="e">
        <f t="shared" si="51"/>
        <v>#N/A</v>
      </c>
      <c r="V87" s="198" t="e">
        <f t="shared" si="52"/>
        <v>#N/A</v>
      </c>
      <c r="W87" s="199">
        <f t="shared" si="53"/>
        <v>0</v>
      </c>
      <c r="X87" s="198" t="e">
        <f t="shared" si="54"/>
        <v>#N/A</v>
      </c>
      <c r="Y87" s="196">
        <f t="shared" si="55"/>
        <v>0</v>
      </c>
    </row>
    <row r="88" spans="1:25" ht="15">
      <c r="A88" s="33">
        <v>74</v>
      </c>
      <c r="B88" s="187" t="s">
        <v>186</v>
      </c>
      <c r="C88" s="264">
        <f t="shared" si="41"/>
        <v>3466.5632447436183</v>
      </c>
      <c r="E88" s="190"/>
      <c r="G88" s="191" t="e">
        <f t="shared" si="42"/>
        <v>#N/A</v>
      </c>
      <c r="H88" s="24" t="e">
        <f t="shared" si="56"/>
        <v>#N/A</v>
      </c>
      <c r="I88" s="218" t="e">
        <f t="shared" si="43"/>
        <v>#N/A</v>
      </c>
      <c r="J88" s="24" t="e">
        <f t="shared" si="44"/>
        <v>#NUM!</v>
      </c>
      <c r="L88" s="193" t="e">
        <f t="shared" si="45"/>
        <v>#N/A</v>
      </c>
      <c r="M88" s="194"/>
      <c r="N88" s="195" t="e">
        <f t="shared" si="46"/>
        <v>#N/A</v>
      </c>
      <c r="O88" s="196">
        <f t="shared" si="47"/>
        <v>0</v>
      </c>
      <c r="P88" s="37"/>
      <c r="Q88" s="37"/>
      <c r="R88" s="191" t="e">
        <f t="shared" si="48"/>
        <v>#N/A</v>
      </c>
      <c r="S88" s="24" t="e">
        <f t="shared" si="49"/>
        <v>#N/A</v>
      </c>
      <c r="T88" s="25" t="e">
        <f t="shared" si="50"/>
        <v>#N/A</v>
      </c>
      <c r="U88" s="197" t="e">
        <f t="shared" si="51"/>
        <v>#N/A</v>
      </c>
      <c r="V88" s="198" t="e">
        <f t="shared" si="52"/>
        <v>#N/A</v>
      </c>
      <c r="W88" s="199">
        <f t="shared" si="53"/>
        <v>0</v>
      </c>
      <c r="X88" s="198" t="e">
        <f t="shared" si="54"/>
        <v>#N/A</v>
      </c>
      <c r="Y88" s="196">
        <f t="shared" si="55"/>
        <v>0</v>
      </c>
    </row>
    <row r="89" spans="1:25" ht="15">
      <c r="A89" s="33">
        <v>75</v>
      </c>
      <c r="B89" s="187" t="s">
        <v>102</v>
      </c>
      <c r="C89" s="264">
        <f t="shared" si="41"/>
        <v>3672.695822068273</v>
      </c>
      <c r="E89" s="190"/>
      <c r="G89" s="191" t="e">
        <f t="shared" si="42"/>
        <v>#N/A</v>
      </c>
      <c r="H89" s="24" t="e">
        <f t="shared" si="56"/>
        <v>#N/A</v>
      </c>
      <c r="I89" s="218" t="e">
        <f t="shared" si="43"/>
        <v>#N/A</v>
      </c>
      <c r="J89" s="24" t="e">
        <f t="shared" si="44"/>
        <v>#NUM!</v>
      </c>
      <c r="L89" s="193" t="e">
        <f t="shared" si="45"/>
        <v>#N/A</v>
      </c>
      <c r="M89" s="194"/>
      <c r="N89" s="195" t="e">
        <f t="shared" si="46"/>
        <v>#N/A</v>
      </c>
      <c r="O89" s="196">
        <f t="shared" si="47"/>
        <v>0</v>
      </c>
      <c r="P89" s="37"/>
      <c r="Q89" s="37"/>
      <c r="R89" s="191" t="e">
        <f t="shared" si="48"/>
        <v>#N/A</v>
      </c>
      <c r="S89" s="24" t="e">
        <f t="shared" si="49"/>
        <v>#N/A</v>
      </c>
      <c r="T89" s="25" t="e">
        <f t="shared" si="50"/>
        <v>#N/A</v>
      </c>
      <c r="U89" s="197" t="e">
        <f t="shared" si="51"/>
        <v>#N/A</v>
      </c>
      <c r="V89" s="198" t="e">
        <f t="shared" si="52"/>
        <v>#N/A</v>
      </c>
      <c r="W89" s="199">
        <f t="shared" si="53"/>
        <v>0</v>
      </c>
      <c r="X89" s="198" t="e">
        <f t="shared" si="54"/>
        <v>#N/A</v>
      </c>
      <c r="Y89" s="196">
        <f t="shared" si="55"/>
        <v>0</v>
      </c>
    </row>
    <row r="90" spans="1:25" ht="15">
      <c r="A90" s="33">
        <v>76</v>
      </c>
      <c r="B90" s="187" t="s">
        <v>103</v>
      </c>
      <c r="C90" s="264">
        <f t="shared" si="41"/>
        <v>3891.0856802889084</v>
      </c>
      <c r="E90" s="190"/>
      <c r="G90" s="191" t="e">
        <f t="shared" si="42"/>
        <v>#N/A</v>
      </c>
      <c r="H90" s="24" t="e">
        <f t="shared" si="56"/>
        <v>#N/A</v>
      </c>
      <c r="I90" s="218" t="e">
        <f t="shared" si="43"/>
        <v>#N/A</v>
      </c>
      <c r="J90" s="24" t="e">
        <f t="shared" si="44"/>
        <v>#NUM!</v>
      </c>
      <c r="K90" s="24" t="e">
        <f>LOG(D78/4)</f>
        <v>#NUM!</v>
      </c>
      <c r="L90" s="193" t="e">
        <f t="shared" si="45"/>
        <v>#N/A</v>
      </c>
      <c r="M90" s="194"/>
      <c r="N90" s="195" t="e">
        <f t="shared" si="46"/>
        <v>#N/A</v>
      </c>
      <c r="O90" s="196">
        <f t="shared" si="47"/>
        <v>0</v>
      </c>
      <c r="P90" s="37"/>
      <c r="Q90" s="37"/>
      <c r="R90" s="191" t="e">
        <f t="shared" si="48"/>
        <v>#N/A</v>
      </c>
      <c r="S90" s="24" t="e">
        <f t="shared" si="49"/>
        <v>#N/A</v>
      </c>
      <c r="T90" s="25" t="e">
        <f t="shared" si="50"/>
        <v>#N/A</v>
      </c>
      <c r="U90" s="197" t="e">
        <f t="shared" si="51"/>
        <v>#N/A</v>
      </c>
      <c r="V90" s="198" t="e">
        <f t="shared" si="52"/>
        <v>#N/A</v>
      </c>
      <c r="W90" s="199">
        <f t="shared" si="53"/>
        <v>0</v>
      </c>
      <c r="X90" s="198" t="e">
        <f t="shared" si="54"/>
        <v>#N/A</v>
      </c>
      <c r="Y90" s="196">
        <f t="shared" si="55"/>
        <v>0</v>
      </c>
    </row>
    <row r="91" spans="1:25" ht="15">
      <c r="A91" s="33">
        <v>77</v>
      </c>
      <c r="B91" s="187" t="s">
        <v>174</v>
      </c>
      <c r="C91" s="264">
        <f t="shared" si="41"/>
        <v>4122.4616752560305</v>
      </c>
      <c r="E91" s="190"/>
      <c r="G91" s="191" t="e">
        <f t="shared" si="42"/>
        <v>#N/A</v>
      </c>
      <c r="H91" s="24" t="e">
        <f t="shared" si="56"/>
        <v>#N/A</v>
      </c>
      <c r="I91" s="218" t="e">
        <f t="shared" si="43"/>
        <v>#N/A</v>
      </c>
      <c r="J91" s="24" t="e">
        <f t="shared" si="44"/>
        <v>#NUM!</v>
      </c>
      <c r="L91" s="193" t="e">
        <f t="shared" si="45"/>
        <v>#N/A</v>
      </c>
      <c r="M91" s="194"/>
      <c r="N91" s="195" t="e">
        <f t="shared" si="46"/>
        <v>#N/A</v>
      </c>
      <c r="O91" s="196">
        <f t="shared" si="47"/>
        <v>0</v>
      </c>
      <c r="P91" s="37"/>
      <c r="Q91" s="37"/>
      <c r="R91" s="191" t="e">
        <f t="shared" si="48"/>
        <v>#N/A</v>
      </c>
      <c r="S91" s="24" t="e">
        <f t="shared" si="49"/>
        <v>#N/A</v>
      </c>
      <c r="T91" s="25" t="e">
        <f t="shared" si="50"/>
        <v>#N/A</v>
      </c>
      <c r="U91" s="197" t="e">
        <f t="shared" si="51"/>
        <v>#N/A</v>
      </c>
      <c r="V91" s="198" t="e">
        <f t="shared" si="52"/>
        <v>#N/A</v>
      </c>
      <c r="W91" s="199">
        <f t="shared" si="53"/>
        <v>0</v>
      </c>
      <c r="X91" s="198" t="e">
        <f t="shared" si="54"/>
        <v>#N/A</v>
      </c>
      <c r="Y91" s="196">
        <f t="shared" si="55"/>
        <v>0</v>
      </c>
    </row>
    <row r="92" spans="1:25" ht="15">
      <c r="A92" s="33">
        <v>78</v>
      </c>
      <c r="B92" s="187" t="s">
        <v>104</v>
      </c>
      <c r="C92" s="264">
        <f t="shared" si="41"/>
        <v>4367.596002844359</v>
      </c>
      <c r="E92" s="190"/>
      <c r="G92" s="191" t="e">
        <f t="shared" si="42"/>
        <v>#N/A</v>
      </c>
      <c r="H92" s="24" t="e">
        <f t="shared" si="56"/>
        <v>#N/A</v>
      </c>
      <c r="I92" s="218" t="e">
        <f t="shared" si="43"/>
        <v>#N/A</v>
      </c>
      <c r="J92" s="24" t="e">
        <f t="shared" si="44"/>
        <v>#NUM!</v>
      </c>
      <c r="L92" s="193" t="e">
        <f t="shared" si="45"/>
        <v>#N/A</v>
      </c>
      <c r="M92" s="194"/>
      <c r="N92" s="195" t="e">
        <f t="shared" si="46"/>
        <v>#N/A</v>
      </c>
      <c r="O92" s="196">
        <f t="shared" si="47"/>
        <v>0</v>
      </c>
      <c r="P92" s="37"/>
      <c r="Q92" s="37"/>
      <c r="R92" s="191" t="e">
        <f t="shared" si="48"/>
        <v>#N/A</v>
      </c>
      <c r="S92" s="24" t="e">
        <f t="shared" si="49"/>
        <v>#N/A</v>
      </c>
      <c r="T92" s="25" t="e">
        <f t="shared" si="50"/>
        <v>#N/A</v>
      </c>
      <c r="U92" s="197" t="e">
        <f t="shared" si="51"/>
        <v>#N/A</v>
      </c>
      <c r="V92" s="198" t="e">
        <f t="shared" si="52"/>
        <v>#N/A</v>
      </c>
      <c r="W92" s="199">
        <f t="shared" si="53"/>
        <v>0</v>
      </c>
      <c r="X92" s="198" t="e">
        <f t="shared" si="54"/>
        <v>#N/A</v>
      </c>
      <c r="Y92" s="196">
        <f t="shared" si="55"/>
        <v>0</v>
      </c>
    </row>
    <row r="93" spans="1:25" ht="15">
      <c r="A93" s="33">
        <v>79</v>
      </c>
      <c r="B93" s="187" t="s">
        <v>176</v>
      </c>
      <c r="C93" s="264">
        <f t="shared" si="41"/>
        <v>4627.306776084773</v>
      </c>
      <c r="E93" s="190"/>
      <c r="G93" s="191" t="e">
        <f t="shared" si="42"/>
        <v>#N/A</v>
      </c>
      <c r="H93" s="24" t="e">
        <f t="shared" si="56"/>
        <v>#N/A</v>
      </c>
      <c r="I93" s="218" t="e">
        <f t="shared" si="43"/>
        <v>#N/A</v>
      </c>
      <c r="J93" s="24" t="e">
        <f t="shared" si="44"/>
        <v>#NUM!</v>
      </c>
      <c r="L93" s="193" t="e">
        <f t="shared" si="45"/>
        <v>#N/A</v>
      </c>
      <c r="M93" s="194"/>
      <c r="N93" s="195" t="e">
        <f t="shared" si="46"/>
        <v>#N/A</v>
      </c>
      <c r="O93" s="196">
        <f t="shared" si="47"/>
        <v>0</v>
      </c>
      <c r="P93" s="37"/>
      <c r="Q93" s="37"/>
      <c r="R93" s="191" t="e">
        <f t="shared" si="48"/>
        <v>#N/A</v>
      </c>
      <c r="S93" s="24" t="e">
        <f t="shared" si="49"/>
        <v>#N/A</v>
      </c>
      <c r="T93" s="25" t="e">
        <f t="shared" si="50"/>
        <v>#N/A</v>
      </c>
      <c r="U93" s="197" t="e">
        <f t="shared" si="51"/>
        <v>#N/A</v>
      </c>
      <c r="V93" s="198" t="e">
        <f t="shared" si="52"/>
        <v>#N/A</v>
      </c>
      <c r="W93" s="199">
        <f t="shared" si="53"/>
        <v>0</v>
      </c>
      <c r="X93" s="198" t="e">
        <f t="shared" si="54"/>
        <v>#N/A</v>
      </c>
      <c r="Y93" s="196">
        <f t="shared" si="55"/>
        <v>0</v>
      </c>
    </row>
    <row r="94" spans="1:25" ht="15">
      <c r="A94" s="33">
        <v>80</v>
      </c>
      <c r="B94" s="187" t="s">
        <v>105</v>
      </c>
      <c r="C94" s="264">
        <f t="shared" si="41"/>
        <v>4902.460755540509</v>
      </c>
      <c r="E94" s="190"/>
      <c r="G94" s="191" t="e">
        <f t="shared" si="42"/>
        <v>#N/A</v>
      </c>
      <c r="H94" s="24" t="e">
        <f t="shared" si="56"/>
        <v>#N/A</v>
      </c>
      <c r="I94" s="218" t="e">
        <f t="shared" si="43"/>
        <v>#N/A</v>
      </c>
      <c r="J94" s="24" t="e">
        <f t="shared" si="44"/>
        <v>#NUM!</v>
      </c>
      <c r="L94" s="193" t="e">
        <f t="shared" si="45"/>
        <v>#N/A</v>
      </c>
      <c r="M94" s="194"/>
      <c r="N94" s="195" t="e">
        <f t="shared" si="46"/>
        <v>#N/A</v>
      </c>
      <c r="O94" s="196">
        <f t="shared" si="47"/>
        <v>0</v>
      </c>
      <c r="P94" s="37"/>
      <c r="Q94" s="37"/>
      <c r="R94" s="191" t="e">
        <f t="shared" si="48"/>
        <v>#N/A</v>
      </c>
      <c r="S94" s="24" t="e">
        <f t="shared" si="49"/>
        <v>#N/A</v>
      </c>
      <c r="T94" s="25" t="e">
        <f t="shared" si="50"/>
        <v>#N/A</v>
      </c>
      <c r="U94" s="197" t="e">
        <f t="shared" si="51"/>
        <v>#N/A</v>
      </c>
      <c r="V94" s="198" t="e">
        <f t="shared" si="52"/>
        <v>#N/A</v>
      </c>
      <c r="W94" s="199">
        <f t="shared" si="53"/>
        <v>0</v>
      </c>
      <c r="X94" s="198" t="e">
        <f t="shared" si="54"/>
        <v>#N/A</v>
      </c>
      <c r="Y94" s="196">
        <f t="shared" si="55"/>
        <v>0</v>
      </c>
    </row>
    <row r="95" spans="1:25" ht="15">
      <c r="A95" s="33">
        <v>81</v>
      </c>
      <c r="B95" s="187" t="s">
        <v>106</v>
      </c>
      <c r="C95" s="264">
        <f t="shared" si="41"/>
        <v>5193.976242039957</v>
      </c>
      <c r="E95" s="190"/>
      <c r="G95" s="191" t="e">
        <f t="shared" si="42"/>
        <v>#N/A</v>
      </c>
      <c r="H95" s="24" t="e">
        <f t="shared" si="56"/>
        <v>#N/A</v>
      </c>
      <c r="I95" s="218" t="e">
        <f t="shared" si="43"/>
        <v>#N/A</v>
      </c>
      <c r="J95" s="24" t="e">
        <f t="shared" si="44"/>
        <v>#NUM!</v>
      </c>
      <c r="L95" s="193" t="e">
        <f t="shared" si="45"/>
        <v>#N/A</v>
      </c>
      <c r="M95" s="194"/>
      <c r="N95" s="195" t="e">
        <f t="shared" si="46"/>
        <v>#N/A</v>
      </c>
      <c r="O95" s="196">
        <f t="shared" si="47"/>
        <v>0</v>
      </c>
      <c r="P95" s="37"/>
      <c r="Q95" s="37"/>
      <c r="R95" s="191" t="e">
        <f t="shared" si="48"/>
        <v>#N/A</v>
      </c>
      <c r="S95" s="24" t="e">
        <f t="shared" si="49"/>
        <v>#N/A</v>
      </c>
      <c r="T95" s="25" t="e">
        <f t="shared" si="50"/>
        <v>#N/A</v>
      </c>
      <c r="U95" s="197" t="e">
        <f t="shared" si="51"/>
        <v>#N/A</v>
      </c>
      <c r="V95" s="198" t="e">
        <f t="shared" si="52"/>
        <v>#N/A</v>
      </c>
      <c r="W95" s="199">
        <f t="shared" si="53"/>
        <v>0</v>
      </c>
      <c r="X95" s="198" t="e">
        <f t="shared" si="54"/>
        <v>#N/A</v>
      </c>
      <c r="Y95" s="196">
        <f t="shared" si="55"/>
        <v>0</v>
      </c>
    </row>
    <row r="96" spans="1:25" ht="15">
      <c r="A96" s="33">
        <v>82</v>
      </c>
      <c r="B96" s="187" t="s">
        <v>179</v>
      </c>
      <c r="C96" s="264">
        <f t="shared" si="41"/>
        <v>5502.826141420316</v>
      </c>
      <c r="E96" s="190"/>
      <c r="G96" s="191" t="e">
        <f t="shared" si="42"/>
        <v>#N/A</v>
      </c>
      <c r="H96" s="24" t="e">
        <f t="shared" si="56"/>
        <v>#N/A</v>
      </c>
      <c r="I96" s="218" t="e">
        <f t="shared" si="43"/>
        <v>#N/A</v>
      </c>
      <c r="J96" s="24" t="e">
        <f t="shared" si="44"/>
        <v>#NUM!</v>
      </c>
      <c r="L96" s="193" t="e">
        <f t="shared" si="45"/>
        <v>#N/A</v>
      </c>
      <c r="M96" s="194"/>
      <c r="N96" s="195" t="e">
        <f t="shared" si="46"/>
        <v>#N/A</v>
      </c>
      <c r="O96" s="196">
        <f t="shared" si="47"/>
        <v>0</v>
      </c>
      <c r="P96" s="37"/>
      <c r="Q96" s="37"/>
      <c r="R96" s="191" t="e">
        <f t="shared" si="48"/>
        <v>#N/A</v>
      </c>
      <c r="S96" s="24" t="e">
        <f t="shared" si="49"/>
        <v>#N/A</v>
      </c>
      <c r="T96" s="25" t="e">
        <f t="shared" si="50"/>
        <v>#N/A</v>
      </c>
      <c r="U96" s="197" t="e">
        <f t="shared" si="51"/>
        <v>#N/A</v>
      </c>
      <c r="V96" s="198" t="e">
        <f t="shared" si="52"/>
        <v>#N/A</v>
      </c>
      <c r="W96" s="199">
        <f t="shared" si="53"/>
        <v>0</v>
      </c>
      <c r="X96" s="198" t="e">
        <f t="shared" si="54"/>
        <v>#N/A</v>
      </c>
      <c r="Y96" s="196">
        <f t="shared" si="55"/>
        <v>0</v>
      </c>
    </row>
    <row r="97" spans="1:25" ht="15">
      <c r="A97" s="33">
        <v>83</v>
      </c>
      <c r="B97" s="187" t="s">
        <v>107</v>
      </c>
      <c r="C97" s="264">
        <f t="shared" si="41"/>
        <v>5830.041211510389</v>
      </c>
      <c r="E97" s="190"/>
      <c r="G97" s="191" t="e">
        <f t="shared" si="42"/>
        <v>#N/A</v>
      </c>
      <c r="H97" s="24" t="e">
        <f t="shared" si="56"/>
        <v>#N/A</v>
      </c>
      <c r="I97" s="218" t="e">
        <f t="shared" si="43"/>
        <v>#N/A</v>
      </c>
      <c r="J97" s="24" t="e">
        <f t="shared" si="44"/>
        <v>#NUM!</v>
      </c>
      <c r="L97" s="193" t="e">
        <f t="shared" si="45"/>
        <v>#N/A</v>
      </c>
      <c r="M97" s="194"/>
      <c r="N97" s="195" t="e">
        <f t="shared" si="46"/>
        <v>#N/A</v>
      </c>
      <c r="O97" s="196">
        <f t="shared" si="47"/>
        <v>0</v>
      </c>
      <c r="P97" s="37"/>
      <c r="Q97" s="37"/>
      <c r="R97" s="191" t="e">
        <f t="shared" si="48"/>
        <v>#N/A</v>
      </c>
      <c r="S97" s="24" t="e">
        <f t="shared" si="49"/>
        <v>#N/A</v>
      </c>
      <c r="T97" s="25" t="e">
        <f t="shared" si="50"/>
        <v>#N/A</v>
      </c>
      <c r="U97" s="197" t="e">
        <f t="shared" si="51"/>
        <v>#N/A</v>
      </c>
      <c r="V97" s="198" t="e">
        <f t="shared" si="52"/>
        <v>#N/A</v>
      </c>
      <c r="W97" s="199">
        <f t="shared" si="53"/>
        <v>0</v>
      </c>
      <c r="X97" s="198" t="e">
        <f t="shared" si="54"/>
        <v>#N/A</v>
      </c>
      <c r="Y97" s="196">
        <f t="shared" si="55"/>
        <v>0</v>
      </c>
    </row>
    <row r="98" spans="1:25" ht="15">
      <c r="A98" s="33">
        <v>84</v>
      </c>
      <c r="B98" s="187" t="s">
        <v>182</v>
      </c>
      <c r="C98" s="264">
        <f t="shared" si="41"/>
        <v>6176.713502189012</v>
      </c>
      <c r="E98" s="190"/>
      <c r="G98" s="191" t="e">
        <f t="shared" si="42"/>
        <v>#N/A</v>
      </c>
      <c r="H98" s="24" t="e">
        <f t="shared" si="56"/>
        <v>#N/A</v>
      </c>
      <c r="I98" s="218" t="e">
        <f t="shared" si="43"/>
        <v>#N/A</v>
      </c>
      <c r="J98" s="24" t="e">
        <f t="shared" si="44"/>
        <v>#NUM!</v>
      </c>
      <c r="L98" s="193" t="e">
        <f t="shared" si="45"/>
        <v>#N/A</v>
      </c>
      <c r="M98" s="194"/>
      <c r="N98" s="195" t="e">
        <f t="shared" si="46"/>
        <v>#N/A</v>
      </c>
      <c r="O98" s="196">
        <f t="shared" si="47"/>
        <v>0</v>
      </c>
      <c r="P98" s="37"/>
      <c r="Q98" s="37"/>
      <c r="R98" s="191" t="e">
        <f t="shared" si="48"/>
        <v>#N/A</v>
      </c>
      <c r="S98" s="24" t="e">
        <f t="shared" si="49"/>
        <v>#N/A</v>
      </c>
      <c r="T98" s="25" t="e">
        <f t="shared" si="50"/>
        <v>#N/A</v>
      </c>
      <c r="U98" s="197" t="e">
        <f t="shared" si="51"/>
        <v>#N/A</v>
      </c>
      <c r="V98" s="198" t="e">
        <f t="shared" si="52"/>
        <v>#N/A</v>
      </c>
      <c r="W98" s="199">
        <f t="shared" si="53"/>
        <v>0</v>
      </c>
      <c r="X98" s="198" t="e">
        <f t="shared" si="54"/>
        <v>#N/A</v>
      </c>
      <c r="Y98" s="196">
        <f t="shared" si="55"/>
        <v>0</v>
      </c>
    </row>
    <row r="99" spans="1:25" ht="15">
      <c r="A99" s="33">
        <v>85</v>
      </c>
      <c r="B99" s="187" t="s">
        <v>108</v>
      </c>
      <c r="C99" s="264">
        <f t="shared" si="41"/>
        <v>6544.00000000001</v>
      </c>
      <c r="E99" s="190"/>
      <c r="G99" s="191" t="e">
        <f t="shared" si="42"/>
        <v>#N/A</v>
      </c>
      <c r="H99" s="24" t="e">
        <f t="shared" si="56"/>
        <v>#N/A</v>
      </c>
      <c r="I99" s="218" t="e">
        <f t="shared" si="43"/>
        <v>#N/A</v>
      </c>
      <c r="J99" s="24" t="e">
        <f t="shared" si="44"/>
        <v>#NUM!</v>
      </c>
      <c r="L99" s="193" t="e">
        <f t="shared" si="45"/>
        <v>#N/A</v>
      </c>
      <c r="M99" s="194"/>
      <c r="N99" s="195" t="e">
        <f t="shared" si="46"/>
        <v>#N/A</v>
      </c>
      <c r="O99" s="196">
        <f t="shared" si="47"/>
        <v>0</v>
      </c>
      <c r="P99" s="37"/>
      <c r="Q99" s="37"/>
      <c r="R99" s="191" t="e">
        <f t="shared" si="48"/>
        <v>#N/A</v>
      </c>
      <c r="S99" s="24" t="e">
        <f t="shared" si="49"/>
        <v>#N/A</v>
      </c>
      <c r="T99" s="25" t="e">
        <f t="shared" si="50"/>
        <v>#N/A</v>
      </c>
      <c r="U99" s="197" t="e">
        <f t="shared" si="51"/>
        <v>#N/A</v>
      </c>
      <c r="V99" s="198" t="e">
        <f t="shared" si="52"/>
        <v>#N/A</v>
      </c>
      <c r="W99" s="199">
        <f t="shared" si="53"/>
        <v>0</v>
      </c>
      <c r="X99" s="198" t="e">
        <f t="shared" si="54"/>
        <v>#N/A</v>
      </c>
      <c r="Y99" s="196">
        <f t="shared" si="55"/>
        <v>0</v>
      </c>
    </row>
    <row r="100" spans="1:25" ht="15">
      <c r="A100" s="33">
        <v>86</v>
      </c>
      <c r="B100" s="187" t="s">
        <v>186</v>
      </c>
      <c r="C100" s="264">
        <f t="shared" si="41"/>
        <v>6933.126489487239</v>
      </c>
      <c r="E100" s="190"/>
      <c r="G100" s="191" t="e">
        <f t="shared" si="42"/>
        <v>#N/A</v>
      </c>
      <c r="H100" s="24" t="e">
        <f t="shared" si="56"/>
        <v>#N/A</v>
      </c>
      <c r="I100" s="218" t="e">
        <f t="shared" si="43"/>
        <v>#N/A</v>
      </c>
      <c r="J100" s="24" t="e">
        <f t="shared" si="44"/>
        <v>#NUM!</v>
      </c>
      <c r="L100" s="193" t="e">
        <f t="shared" si="45"/>
        <v>#N/A</v>
      </c>
      <c r="M100" s="194"/>
      <c r="N100" s="195" t="e">
        <f t="shared" si="46"/>
        <v>#N/A</v>
      </c>
      <c r="O100" s="196">
        <f t="shared" si="47"/>
        <v>0</v>
      </c>
      <c r="P100" s="37"/>
      <c r="Q100" s="37"/>
      <c r="R100" s="191" t="e">
        <f t="shared" si="48"/>
        <v>#N/A</v>
      </c>
      <c r="S100" s="24" t="e">
        <f t="shared" si="49"/>
        <v>#N/A</v>
      </c>
      <c r="T100" s="25" t="e">
        <f t="shared" si="50"/>
        <v>#N/A</v>
      </c>
      <c r="U100" s="197" t="e">
        <f t="shared" si="51"/>
        <v>#N/A</v>
      </c>
      <c r="V100" s="198" t="e">
        <f t="shared" si="52"/>
        <v>#N/A</v>
      </c>
      <c r="W100" s="199">
        <f t="shared" si="53"/>
        <v>0</v>
      </c>
      <c r="X100" s="198" t="e">
        <f t="shared" si="54"/>
        <v>#N/A</v>
      </c>
      <c r="Y100" s="196">
        <f t="shared" si="55"/>
        <v>0</v>
      </c>
    </row>
    <row r="101" spans="1:25" ht="15">
      <c r="A101" s="33">
        <v>87</v>
      </c>
      <c r="B101" s="187" t="s">
        <v>109</v>
      </c>
      <c r="C101" s="264">
        <f t="shared" si="41"/>
        <v>7345.391644136549</v>
      </c>
      <c r="E101" s="190"/>
      <c r="G101" s="191" t="e">
        <f t="shared" si="42"/>
        <v>#N/A</v>
      </c>
      <c r="H101" s="24" t="e">
        <f t="shared" si="56"/>
        <v>#N/A</v>
      </c>
      <c r="I101" s="218" t="e">
        <f t="shared" si="43"/>
        <v>#N/A</v>
      </c>
      <c r="J101" s="24" t="e">
        <f t="shared" si="44"/>
        <v>#NUM!</v>
      </c>
      <c r="L101" s="193" t="e">
        <f t="shared" si="45"/>
        <v>#N/A</v>
      </c>
      <c r="M101" s="194"/>
      <c r="N101" s="195" t="e">
        <f t="shared" si="46"/>
        <v>#N/A</v>
      </c>
      <c r="O101" s="196">
        <f t="shared" si="47"/>
        <v>0</v>
      </c>
      <c r="P101" s="37"/>
      <c r="Q101" s="37"/>
      <c r="R101" s="191" t="e">
        <f t="shared" si="48"/>
        <v>#N/A</v>
      </c>
      <c r="S101" s="24" t="e">
        <f t="shared" si="49"/>
        <v>#N/A</v>
      </c>
      <c r="T101" s="25" t="e">
        <f t="shared" si="50"/>
        <v>#N/A</v>
      </c>
      <c r="U101" s="197" t="e">
        <f t="shared" si="51"/>
        <v>#N/A</v>
      </c>
      <c r="V101" s="198" t="e">
        <f t="shared" si="52"/>
        <v>#N/A</v>
      </c>
      <c r="W101" s="199">
        <f t="shared" si="53"/>
        <v>0</v>
      </c>
      <c r="X101" s="198" t="e">
        <f t="shared" si="54"/>
        <v>#N/A</v>
      </c>
      <c r="Y101" s="196">
        <f t="shared" si="55"/>
        <v>0</v>
      </c>
    </row>
    <row r="102" spans="1:25" ht="15">
      <c r="A102" s="33">
        <v>88</v>
      </c>
      <c r="B102" s="187" t="s">
        <v>110</v>
      </c>
      <c r="C102" s="264">
        <f t="shared" si="41"/>
        <v>7782.17136057782</v>
      </c>
      <c r="E102" s="190"/>
      <c r="G102" s="191" t="e">
        <f t="shared" si="42"/>
        <v>#N/A</v>
      </c>
      <c r="H102" s="24" t="e">
        <f t="shared" si="56"/>
        <v>#N/A</v>
      </c>
      <c r="I102" s="218" t="e">
        <f t="shared" si="43"/>
        <v>#N/A</v>
      </c>
      <c r="J102" s="24" t="e">
        <f t="shared" si="44"/>
        <v>#NUM!</v>
      </c>
      <c r="L102" s="193" t="e">
        <f t="shared" si="45"/>
        <v>#N/A</v>
      </c>
      <c r="M102" s="194"/>
      <c r="N102" s="195" t="e">
        <f t="shared" si="46"/>
        <v>#N/A</v>
      </c>
      <c r="O102" s="196">
        <f t="shared" si="47"/>
        <v>0</v>
      </c>
      <c r="P102" s="37"/>
      <c r="Q102" s="37"/>
      <c r="R102" s="191" t="e">
        <f t="shared" si="48"/>
        <v>#N/A</v>
      </c>
      <c r="S102" s="24" t="e">
        <f t="shared" si="49"/>
        <v>#N/A</v>
      </c>
      <c r="T102" s="25" t="e">
        <f t="shared" si="50"/>
        <v>#N/A</v>
      </c>
      <c r="U102" s="197" t="e">
        <f t="shared" si="51"/>
        <v>#N/A</v>
      </c>
      <c r="V102" s="198" t="e">
        <f t="shared" si="52"/>
        <v>#N/A</v>
      </c>
      <c r="W102" s="199">
        <f t="shared" si="53"/>
        <v>0</v>
      </c>
      <c r="X102" s="198" t="e">
        <f t="shared" si="54"/>
        <v>#N/A</v>
      </c>
      <c r="Y102" s="196">
        <f t="shared" si="55"/>
        <v>0</v>
      </c>
    </row>
    <row r="103" spans="22:24" ht="12">
      <c r="V103" s="233"/>
      <c r="W103" s="274"/>
      <c r="X103" s="233"/>
    </row>
    <row r="104" spans="1:6" ht="15">
      <c r="A104" s="267" t="s">
        <v>111</v>
      </c>
      <c r="B104" s="268"/>
      <c r="D104" s="268"/>
      <c r="E104" s="268"/>
      <c r="F104" s="268"/>
    </row>
  </sheetData>
  <mergeCells count="1">
    <mergeCell ref="BA15:BN15"/>
  </mergeCells>
  <printOptions gridLines="1"/>
  <pageMargins left="1.062992125984252" right="0.7480314960629921" top="0.7086614173228347" bottom="0.5118110236220472" header="0.5" footer="0.5"/>
  <pageSetup fitToHeight="1" fitToWidth="1" orientation="landscape" paperSize="9" scale="92"/>
  <headerFooter alignWithMargins="0">
    <oddFooter>&amp;CStringCalculations2002.XLT</oddFooter>
  </headerFooter>
  <rowBreaks count="1" manualBreakCount="1">
    <brk id="53" max="65535" man="1"/>
  </rowBreaks>
  <colBreaks count="1" manualBreakCount="1">
    <brk id="2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J Law</dc:creator>
  <cp:keywords/>
  <dc:description/>
  <cp:lastModifiedBy>David Law</cp:lastModifiedBy>
  <cp:lastPrinted>2005-03-20T16:34:09Z</cp:lastPrinted>
  <dcterms:created xsi:type="dcterms:W3CDTF">1999-11-16T13:22:20Z</dcterms:created>
  <dcterms:modified xsi:type="dcterms:W3CDTF">2009-02-14T17:22:59Z</dcterms:modified>
  <cp:category/>
  <cp:version/>
  <cp:contentType/>
  <cp:contentStatus/>
</cp:coreProperties>
</file>